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84" yWindow="96" windowWidth="15456" windowHeight="9900" tabRatio="737" activeTab="0"/>
  </bookViews>
  <sheets>
    <sheet name="基礎" sheetId="1" r:id="rId1"/>
    <sheet name="要因" sheetId="2" r:id="rId2"/>
    <sheet name="試算" sheetId="3" r:id="rId3"/>
    <sheet name="1-1" sheetId="4" r:id="rId4"/>
    <sheet name="1-2" sheetId="5" r:id="rId5"/>
    <sheet name="1-3" sheetId="6" r:id="rId6"/>
    <sheet name="2" sheetId="7" r:id="rId7"/>
    <sheet name="3" sheetId="8" r:id="rId8"/>
    <sheet name="一括-1" sheetId="9" r:id="rId9"/>
    <sheet name="一括-2" sheetId="10" r:id="rId10"/>
    <sheet name="一括-3" sheetId="11" r:id="rId11"/>
    <sheet name="一括-4" sheetId="12" r:id="rId12"/>
    <sheet name="案内" sheetId="13" r:id="rId13"/>
    <sheet name="賃貸" sheetId="14" r:id="rId14"/>
    <sheet name="収益" sheetId="15" r:id="rId15"/>
  </sheets>
  <definedNames>
    <definedName name="_xlnm.Print_Area" localSheetId="3">'1-1'!$A$1:$E$77</definedName>
    <definedName name="_xlnm.Print_Area" localSheetId="4">'1-2'!$A$1:$E$43</definedName>
    <definedName name="_xlnm.Print_Area" localSheetId="5">'1-3'!$A$1:$E$82</definedName>
    <definedName name="_xlnm.Print_Area" localSheetId="6">'2'!$A$1:$G$32</definedName>
    <definedName name="_xlnm.Print_Area" localSheetId="7">'3'!$A$1:$L$27</definedName>
    <definedName name="_xlnm.Print_Area" localSheetId="12">'案内'!$A$1:$I$42</definedName>
    <definedName name="_xlnm.Print_Area" localSheetId="8">'一括-1'!$A$1:$F$130</definedName>
    <definedName name="_xlnm.Print_Area" localSheetId="9">'一括-2'!$A$1:$H$42</definedName>
    <definedName name="_xlnm.Print_Area" localSheetId="10">'一括-3'!$A$1:$I$45</definedName>
    <definedName name="_xlnm.Print_Area" localSheetId="2">'試算'!$A$105:$D$120</definedName>
    <definedName name="_xlnm.Print_Area" localSheetId="14">'収益'!$A$46:$F$84</definedName>
    <definedName name="_xlnm.Print_Area" localSheetId="13">'賃貸'!$A$1:$L$22</definedName>
    <definedName name="_xlnm.Print_Titles" localSheetId="4">'1-2'!$B:$B</definedName>
    <definedName name="_xlnm.Print_Titles" localSheetId="5">'1-3'!$B:$C</definedName>
    <definedName name="_xlnm.Print_Titles" localSheetId="7">'3'!$A:$B</definedName>
    <definedName name="一括評価額">'試算'!$B$99</definedName>
    <definedName name="含件外合計面積">'試算'!$B$162</definedName>
    <definedName name="競売固有補正率">'試算'!$A$15</definedName>
    <definedName name="共有持分補正率">'試算'!$B$36</definedName>
    <definedName name="建付地価格合計">'一括-2'!$K$1</definedName>
    <definedName name="建物合計A">'一括-2'!$K$30</definedName>
    <definedName name="権利態様">'試算'!$C$13:$E$18</definedName>
    <definedName name="個別合計">'試算'!$B$140</definedName>
    <definedName name="個別評価基礎">'一括-3'!$L$16</definedName>
    <definedName name="更地価格">'試算'!$B$31</definedName>
    <definedName name="再評価時点">'基礎'!$A$114</definedName>
    <definedName name="採用最大床面積計">'試算'!$B$149</definedName>
    <definedName name="市町村名等">'基礎'!$B$29</definedName>
    <definedName name="収益性補正率">'試算'!#REF!</definedName>
    <definedName name="償却残価率">'試算'!$D$49</definedName>
    <definedName name="占有補正現価率">'試算'!$B$42</definedName>
    <definedName name="選択建物一覧">'基礎'!$A$90:$I$99</definedName>
    <definedName name="総額処理桁Ａ">'試算'!$H$119</definedName>
    <definedName name="総額処理桁Ｂ">'試算'!$F$119</definedName>
    <definedName name="底地市場補正率">'試算'!$B$41</definedName>
    <definedName name="都計区分のコード表">'要因'!$N$23:$R$30</definedName>
    <definedName name="入札情報">'基礎'!$A$66:$E$85</definedName>
    <definedName name="標準価格">'試算'!$F$4</definedName>
    <definedName name="評価時点">'基礎'!$B$10</definedName>
    <definedName name="敷地相当地積">'試算'!$B$67</definedName>
    <definedName name="物件の種類コード表">'基礎'!$G$2:$J$5</definedName>
    <definedName name="用途性補正率">'試算'!$B$97</definedName>
    <definedName name="用途地域のコード表">'要因'!$M$2:$Q$20</definedName>
  </definedNames>
  <calcPr fullCalcOnLoad="1" iterate="1" iterateCount="100" iterateDelta="0.001"/>
</workbook>
</file>

<file path=xl/sharedStrings.xml><?xml version="1.0" encoding="utf-8"?>
<sst xmlns="http://schemas.openxmlformats.org/spreadsheetml/2006/main" count="1725" uniqueCount="1029">
  <si>
    <t>再評価・補充評価の評価年月日</t>
  </si>
  <si>
    <t>再評価補充評価等の発行日</t>
  </si>
  <si>
    <t>□ 敷地利用権のない建物</t>
  </si>
  <si>
    <t>■ 敷地利用権のない建物</t>
  </si>
  <si>
    <t>□ 持分のみの売却</t>
  </si>
  <si>
    <t>　</t>
  </si>
  <si>
    <t>　</t>
  </si>
  <si>
    <t>　</t>
  </si>
  <si>
    <t>設備</t>
  </si>
  <si>
    <t>第２　評価の条件</t>
  </si>
  <si>
    <t>求めるものである。</t>
  </si>
  <si>
    <t>環境条件他</t>
  </si>
  <si>
    <t>建付減価</t>
  </si>
  <si>
    <t xml:space="preserve"> 番　号</t>
  </si>
  <si>
    <t>　公示価格</t>
  </si>
  <si>
    <t>×──── ≒</t>
  </si>
  <si>
    <t>◇地域格差：地価水準に係る要因格差である。（各要因格差の相乗値）</t>
  </si>
  <si>
    <t>ウ　地積：登記簿記載数量</t>
  </si>
  <si>
    <t xml:space="preserve"> 物　件</t>
  </si>
  <si>
    <t xml:space="preserve"> 延床面積</t>
  </si>
  <si>
    <t>（㎡）</t>
  </si>
  <si>
    <t>　</t>
  </si>
  <si>
    <t xml:space="preserve"> 物　件</t>
  </si>
  <si>
    <t xml:space="preserve"> 延床面積</t>
  </si>
  <si>
    <t>ウ  現価率 ：</t>
  </si>
  <si>
    <t>　</t>
  </si>
  <si>
    <t>ア</t>
  </si>
  <si>
    <t>イ</t>
  </si>
  <si>
    <t>ウ</t>
  </si>
  <si>
    <t>エ</t>
  </si>
  <si>
    <t>ア×イ×ウ×エ＝オ</t>
  </si>
  <si>
    <t>カ</t>
  </si>
  <si>
    <t>　</t>
  </si>
  <si>
    <t>　</t>
  </si>
  <si>
    <t>１①オ</t>
  </si>
  <si>
    <t xml:space="preserve"> </t>
  </si>
  <si>
    <t>添付資料</t>
  </si>
  <si>
    <t>所有者</t>
  </si>
  <si>
    <t>マンション①</t>
  </si>
  <si>
    <t>マンション②</t>
  </si>
  <si>
    <t>土地公簿面積</t>
  </si>
  <si>
    <t>地　　　　目</t>
  </si>
  <si>
    <t>（現況地目）</t>
  </si>
  <si>
    <t>評価額(円)</t>
  </si>
  <si>
    <t>※選択した番号のデータが入札案内に記載されます。</t>
  </si>
  <si>
    <t>未整備</t>
  </si>
  <si>
    <t>個別評価額</t>
  </si>
  <si>
    <t>【土地の表示】</t>
  </si>
  <si>
    <t>敷地利用権価格の控除及び加算(円)</t>
  </si>
  <si>
    <t>ア</t>
  </si>
  <si>
    <t>イ</t>
  </si>
  <si>
    <t>ア×イ＝ウ</t>
  </si>
  <si>
    <t>(万円未満四捨五入)</t>
  </si>
  <si>
    <t>売却基準価額</t>
  </si>
  <si>
    <t>評価人氏名</t>
  </si>
  <si>
    <t>　</t>
  </si>
  <si>
    <t>　</t>
  </si>
  <si>
    <t>法定地上権不成立</t>
  </si>
  <si>
    <t>個別建付地価格合計</t>
  </si>
  <si>
    <t>土地一括</t>
  </si>
  <si>
    <t>建物一括</t>
  </si>
  <si>
    <t>■都市計画区域外</t>
  </si>
  <si>
    <t>(入札案内)</t>
  </si>
  <si>
    <t>残存耐用年数のマイナス数値に注意</t>
  </si>
  <si>
    <t>総　費　用</t>
  </si>
  <si>
    <t>修　繕　費</t>
  </si>
  <si>
    <t>再調達原価の</t>
  </si>
  <si>
    <t>積算価格</t>
  </si>
  <si>
    <t>売却許可できません。</t>
  </si>
  <si>
    <t>）</t>
  </si>
  <si>
    <t>※該当事項に■を付す。</t>
  </si>
  <si>
    <t>総戸数</t>
  </si>
  <si>
    <t>専有部分</t>
  </si>
  <si>
    <t>現況</t>
  </si>
  <si>
    <t>敷地利用権割合は、本件土地の所在する地域の特性、本件建物の構造・種類等から上記割合が相当と判断した。</t>
  </si>
  <si>
    <t>①　敷地利用権価格</t>
  </si>
  <si>
    <t>バルコニー</t>
  </si>
  <si>
    <t>管理費(月額)</t>
  </si>
  <si>
    <t>記号</t>
  </si>
  <si>
    <t>標準化補正</t>
  </si>
  <si>
    <t>環境条件</t>
  </si>
  <si>
    <t>■ 持分のみの売却</t>
  </si>
  <si>
    <t>接近条件</t>
  </si>
  <si>
    <t>地域格差</t>
  </si>
  <si>
    <t>行政条件他</t>
  </si>
  <si>
    <t>画地条件</t>
  </si>
  <si>
    <t>東海道本線</t>
  </si>
  <si>
    <t>土壌汚染の蓋然性が認められる土地利用の形跡はない。</t>
  </si>
  <si>
    <t>　（総収入−総費用）</t>
  </si>
  <si>
    <t>土地建物帰属収益・Ｂ（総収入−総費用）</t>
  </si>
  <si>
    <t>ａ</t>
  </si>
  <si>
    <t>ｂ</t>
  </si>
  <si>
    <t>ｃ</t>
  </si>
  <si>
    <t>ｄ</t>
  </si>
  <si>
    <t>競売協会</t>
  </si>
  <si>
    <r>
      <t>※注意．</t>
    </r>
    <r>
      <rPr>
        <sz val="10"/>
        <rFont val="ＭＳ Ｐ明朝"/>
        <family val="1"/>
      </rPr>
      <t>原則として、使用しない数値欄は「</t>
    </r>
    <r>
      <rPr>
        <sz val="10"/>
        <color indexed="10"/>
        <rFont val="ＭＳ Ｐ明朝"/>
        <family val="1"/>
      </rPr>
      <t>０</t>
    </r>
    <r>
      <rPr>
        <sz val="10"/>
        <rFont val="ＭＳ Ｐ明朝"/>
        <family val="1"/>
      </rPr>
      <t>」を入力。空白の入力は不可。分冊番号、支部名欄のみ空白入力。日付は</t>
    </r>
    <r>
      <rPr>
        <sz val="10"/>
        <color indexed="10"/>
        <rFont val="ＭＳ Ｐ明朝"/>
        <family val="1"/>
      </rPr>
      <t>洋歴・和暦</t>
    </r>
    <r>
      <rPr>
        <sz val="10"/>
        <rFont val="ＭＳ Ｐ明朝"/>
        <family val="1"/>
      </rPr>
      <t>いずれも入力可。</t>
    </r>
  </si>
  <si>
    <r>
      <t>※注意．</t>
    </r>
    <r>
      <rPr>
        <sz val="10"/>
        <rFont val="ＭＳ Ｐ明朝"/>
        <family val="1"/>
      </rPr>
      <t>一括評価対象物件の表示の場合接続記号は適宜置き換える。【例示　１・３　或いは１・３及び５など】</t>
    </r>
  </si>
  <si>
    <r>
      <t>※再評価、補充評価の場合は末尾セル</t>
    </r>
    <r>
      <rPr>
        <sz val="10"/>
        <color indexed="10"/>
        <rFont val="ＭＳ Ｐ明朝"/>
        <family val="1"/>
      </rPr>
      <t>Ａ103からＡ118</t>
    </r>
    <r>
      <rPr>
        <sz val="10"/>
        <rFont val="ＭＳ Ｐ明朝"/>
        <family val="1"/>
      </rPr>
      <t>に注意。</t>
    </r>
  </si>
  <si>
    <t>※複数建物の占有者や占有権限態様が異なる場合は、計算過程で相応のデータ入力を行えば、加重平均現価率を計算する。</t>
  </si>
  <si>
    <t>※複数物件の評価の場合に、持分が異なる場合は一括評価対象となし得るか否か、疑問である。ファイルを替えて別個に評価対象とすることが望ましいと考える。本モデルで扱えるのは、持分割合が同じ物件の評価のみである。</t>
  </si>
  <si>
    <t xml:space="preserve"> </t>
  </si>
  <si>
    <r>
      <t>※土地建物ともに持分でない場合でも、持分割合の</t>
    </r>
    <r>
      <rPr>
        <sz val="10"/>
        <color indexed="10"/>
        <rFont val="ＭＳ Ｐ明朝"/>
        <family val="1"/>
      </rPr>
      <t>分母と分子は1/1</t>
    </r>
    <r>
      <rPr>
        <sz val="10"/>
        <rFont val="ＭＳ Ｐ明朝"/>
        <family val="1"/>
      </rPr>
      <t>を入力しておいて下さい。</t>
    </r>
  </si>
  <si>
    <t>　</t>
  </si>
  <si>
    <r>
      <t>※目的物件の位置環境等の要因入力</t>
    </r>
    <r>
      <rPr>
        <sz val="10"/>
        <color indexed="10"/>
        <rFont val="ＭＳ Ｐ明朝"/>
        <family val="1"/>
      </rPr>
      <t>　（土地10件、建物10件の入力が可能です）</t>
    </r>
  </si>
  <si>
    <t>ＪＲ</t>
  </si>
  <si>
    <r>
      <t>２．土地の概況・利用状況等・</t>
    </r>
    <r>
      <rPr>
        <sz val="10"/>
        <color indexed="10"/>
        <rFont val="ＭＳ Ｐ明朝"/>
        <family val="1"/>
      </rPr>
      <t>入力の際はウインドウを分割して入力してください。</t>
    </r>
  </si>
  <si>
    <t>　</t>
  </si>
  <si>
    <r>
      <t>３．建物の概況・利用状況・</t>
    </r>
    <r>
      <rPr>
        <sz val="10"/>
        <color indexed="10"/>
        <rFont val="ＭＳ Ｐ明朝"/>
        <family val="1"/>
      </rPr>
      <t>入力の際はウインドウを分割して入力してください。</t>
    </r>
  </si>
  <si>
    <r>
      <t>　※経済的残存耐用年数は経過年数を検討して判定する。経過年数+経済的残存耐用年数＝</t>
    </r>
    <r>
      <rPr>
        <sz val="10"/>
        <color indexed="10"/>
        <rFont val="ＭＳ Ｐ明朝"/>
        <family val="1"/>
      </rPr>
      <t>総耐用年数に注意</t>
    </r>
  </si>
  <si>
    <t>　</t>
  </si>
  <si>
    <r>
      <t>※ご注意 　</t>
    </r>
    <r>
      <rPr>
        <sz val="10"/>
        <color indexed="18"/>
        <rFont val="ＭＳ Ｐ明朝"/>
        <family val="1"/>
      </rPr>
      <t xml:space="preserve"> 108行目以下のセルを不用意に削除しないで下さい。思わぬエラーを発生させる可能性があります。</t>
    </r>
  </si>
  <si>
    <t>評　　価</t>
  </si>
  <si>
    <t>評 価 人</t>
  </si>
  <si>
    <t>民事執行法５８条４項に定める場合を除いて公開された資料に基づくものである。</t>
  </si>
  <si>
    <t>※元利逓増償還率＝(基本利率-賃料変動率)/(1-((1+賃料変動率)/(1+基本利率))＾(残存耐用年数))</t>
  </si>
  <si>
    <t>──</t>
  </si>
  <si>
    <t>　</t>
  </si>
  <si>
    <t>用途地域</t>
  </si>
  <si>
    <t xml:space="preserve"> </t>
  </si>
  <si>
    <t xml:space="preserve"> </t>
  </si>
  <si>
    <t xml:space="preserve"> </t>
  </si>
  <si>
    <t>　</t>
  </si>
  <si>
    <t>ア</t>
  </si>
  <si>
    <t>イ</t>
  </si>
  <si>
    <t>ウ</t>
  </si>
  <si>
    <t>エ</t>
  </si>
  <si>
    <t>オ</t>
  </si>
  <si>
    <t>カ</t>
  </si>
  <si>
    <t>(ア＋イ)×ウ×エ×オ×カ</t>
  </si>
  <si>
    <t>ア</t>
  </si>
  <si>
    <t>イ</t>
  </si>
  <si>
    <t>ウ</t>
  </si>
  <si>
    <t>ア×イ×ウ＝エ</t>
  </si>
  <si>
    <t>② </t>
  </si>
  <si>
    <t>③</t>
  </si>
  <si>
    <t>①　オ</t>
  </si>
  <si>
    <t>②　エ</t>
  </si>
  <si>
    <t>ア+イ＝ウ</t>
  </si>
  <si>
    <t>一種住居</t>
  </si>
  <si>
    <t>一括価格</t>
  </si>
  <si>
    <t>土地</t>
  </si>
  <si>
    <t>建物</t>
  </si>
  <si>
    <t>　したがって、求めるべき評価額は、一般の取引市場において形成される価格ではなく、</t>
  </si>
  <si>
    <t>一般の不動産取引と比較しての競売不動産特有の各種の制約</t>
  </si>
  <si>
    <t>（売主の協力が得られないことが常態であること、</t>
  </si>
  <si>
    <t>買受希望者が事前に物件に立ち入ることができないこと、</t>
  </si>
  <si>
    <t>引渡しを受けるために法定の手続をとらなければならない場合があること、</t>
  </si>
  <si>
    <t>２　階</t>
  </si>
  <si>
    <t>※削除禁止</t>
  </si>
  <si>
    <t>②　評価は、目的物件の調査時点における現状に基づいて行うものであり、</t>
  </si>
  <si>
    <t>※価格形成要因は案件に応じて、適宜変更して下さい。</t>
  </si>
  <si>
    <t>※該当部分に１を入力する。</t>
  </si>
  <si>
    <t>□ 民事執行法63条2項1号により入札が(　　　　　　　　　　　)万円以上でないと</t>
  </si>
  <si>
    <t>都計区分のコード表</t>
  </si>
  <si>
    <t>市街化区域</t>
  </si>
  <si>
    <t>公簿地目</t>
  </si>
  <si>
    <t>建築面積比</t>
  </si>
  <si>
    <t>特約</t>
  </si>
  <si>
    <t>◎◎地方裁判所</t>
  </si>
  <si>
    <t>◇□支部</t>
  </si>
  <si>
    <t>鑑定小太郎</t>
  </si>
  <si>
    <t>経済的残存耐用年数</t>
  </si>
  <si>
    <t>現　　況</t>
  </si>
  <si>
    <t>市場性         修正率</t>
  </si>
  <si>
    <t>競売市場             修正率</t>
  </si>
  <si>
    <t>個別価格            割合</t>
  </si>
  <si>
    <t>基礎となる          価格(円)</t>
  </si>
  <si>
    <t>公簿床面積は基礎入力より引用する</t>
  </si>
  <si>
    <t>建築時期は計算の都合上、公簿記載時点又は推定年月日を入力</t>
  </si>
  <si>
    <t>(駅・停名)</t>
  </si>
  <si>
    <t>(方位)</t>
  </si>
  <si>
    <t>（直線距離）</t>
  </si>
  <si>
    <t>指定建蔽率</t>
  </si>
  <si>
    <t>指定容積率</t>
  </si>
  <si>
    <t>３　建物図面写・各階平面図写・概略建物配置図等</t>
  </si>
  <si>
    <t>以　上</t>
  </si>
  <si>
    <t>総合</t>
  </si>
  <si>
    <t>普　通</t>
  </si>
  <si>
    <t>使用資材</t>
  </si>
  <si>
    <t>施工</t>
  </si>
  <si>
    <t>保守管理</t>
  </si>
  <si>
    <t>占有補正　現価率</t>
  </si>
  <si>
    <t>ウ　占有補正現価率</t>
  </si>
  <si>
    <t>※方位は施設からの方角で八方位表示である。</t>
  </si>
  <si>
    <t>二中専</t>
  </si>
  <si>
    <t>第二種中高層住居専用地域</t>
  </si>
  <si>
    <t>二種中高層住専</t>
  </si>
  <si>
    <t>バス停条件</t>
  </si>
  <si>
    <t>市バス</t>
  </si>
  <si>
    <t xml:space="preserve"> 建付地価格（円）</t>
  </si>
  <si>
    <t xml:space="preserve"> （千円未満四捨五入）</t>
  </si>
  <si>
    <t>補正要因</t>
  </si>
  <si>
    <t>補正格差率</t>
  </si>
  <si>
    <t>■ 民事執行法63条2項1号により入札が(　　　　　　　　　)万円以上でないと</t>
  </si>
  <si>
    <t>第１　評価額</t>
  </si>
  <si>
    <t>形状等</t>
  </si>
  <si>
    <t>市街化調整区域</t>
  </si>
  <si>
    <t>　　現況欄に記載のない事項については、ほぼ登記簿記載と同じ</t>
  </si>
  <si>
    <t>登記簿上</t>
  </si>
  <si>
    <t>(千円未満四捨五入)</t>
  </si>
  <si>
    <t>土壌汚染等</t>
  </si>
  <si>
    <t>合計価格</t>
  </si>
  <si>
    <t>■　その他</t>
  </si>
  <si>
    <t>※換算距離＝道路距離80ｍを１分</t>
  </si>
  <si>
    <t>準住居</t>
  </si>
  <si>
    <t>準住居地域</t>
  </si>
  <si>
    <t>都計区分</t>
  </si>
  <si>
    <t>※都計区分は「下記のコード番号」を入力する。</t>
  </si>
  <si>
    <t>第一種住居地域</t>
  </si>
  <si>
    <t>第３　目的物件</t>
  </si>
  <si>
    <t>(会社名)</t>
  </si>
  <si>
    <t>(線名)</t>
  </si>
  <si>
    <t>地域的特性</t>
  </si>
  <si>
    <t>□　その他</t>
  </si>
  <si>
    <t>入札方法等のご案内</t>
  </si>
  <si>
    <t>設備</t>
  </si>
  <si>
    <t>電気・給排水・衛生等</t>
  </si>
  <si>
    <t>鉄道条件</t>
  </si>
  <si>
    <t>岐阜駅</t>
  </si>
  <si>
    <t>（所    在）</t>
  </si>
  <si>
    <t>区分</t>
  </si>
  <si>
    <t>番号</t>
  </si>
  <si>
    <t>対象物件の種類（１～４）</t>
  </si>
  <si>
    <t>(円)</t>
  </si>
  <si>
    <t>□　マンション</t>
  </si>
  <si>
    <t>調査日以降発生した物件の現状変更については考慮していない。</t>
  </si>
  <si>
    <t>これに必要に応じて建付減価を行い、建付地価格を求めた。</t>
  </si>
  <si>
    <t>①　一括価格は、物件</t>
  </si>
  <si>
    <t>の各不動産について、一括売却（民事執行法６１条本文）を</t>
  </si>
  <si>
    <t>所在等</t>
  </si>
  <si>
    <t>所　在</t>
  </si>
  <si>
    <t xml:space="preserve"> </t>
  </si>
  <si>
    <t>内　　容</t>
  </si>
  <si>
    <t>【建物要因の入力注意事項】</t>
  </si>
  <si>
    <t>【占有減価率(現価率)はセルＢ41で入力する】</t>
  </si>
  <si>
    <t>種　　類</t>
  </si>
  <si>
    <t>構　　造</t>
  </si>
  <si>
    <t>３階他計</t>
  </si>
  <si>
    <t>所    在</t>
  </si>
  <si>
    <t>１　階</t>
  </si>
  <si>
    <t>２　階</t>
  </si>
  <si>
    <t>１　階</t>
  </si>
  <si>
    <t>特記事項</t>
  </si>
  <si>
    <t>評価時点</t>
  </si>
  <si>
    <t>工業</t>
  </si>
  <si>
    <t>工業地域</t>
  </si>
  <si>
    <t>防火規制</t>
  </si>
  <si>
    <t>準防火地域</t>
  </si>
  <si>
    <t xml:space="preserve"> </t>
  </si>
  <si>
    <t>工専</t>
  </si>
  <si>
    <t>南東</t>
  </si>
  <si>
    <t>一住居</t>
  </si>
  <si>
    <t>標準化補正</t>
  </si>
  <si>
    <t>（相乗計）</t>
  </si>
  <si>
    <t>街路条件</t>
  </si>
  <si>
    <t>1</t>
  </si>
  <si>
    <t>2</t>
  </si>
  <si>
    <t>　</t>
  </si>
  <si>
    <t>現況地目</t>
  </si>
  <si>
    <t>【建物及びその敷地価額】（従前手法）</t>
  </si>
  <si>
    <t>及び隣地の状況等</t>
  </si>
  <si>
    <t>地域格差</t>
  </si>
  <si>
    <t>建付地価額</t>
  </si>
  <si>
    <t>※敷地利用権配分</t>
  </si>
  <si>
    <t>敷地利用権は各建物の建築面積比で配分する。</t>
  </si>
  <si>
    <t>位置</t>
  </si>
  <si>
    <t>岐阜市役所の北方約９００ｍに位置する。</t>
  </si>
  <si>
    <t>　</t>
  </si>
  <si>
    <t>天井</t>
  </si>
  <si>
    <t>Ｐ合板・目透し等</t>
  </si>
  <si>
    <t>　</t>
  </si>
  <si>
    <t>床</t>
  </si>
  <si>
    <t>フローリング・畳等</t>
  </si>
  <si>
    <t>駅・停名</t>
  </si>
  <si>
    <t>　前記により求めた価格に、土地については敷地利用権価格を控除し、建物については敷地利用権価格を加算し、必要に応じて占有減価、市場性修正を行い、かつ競売市場修正を施して、下記の通り評価額を求めた。</t>
  </si>
  <si>
    <t>外壁</t>
  </si>
  <si>
    <t>サイデｲング・カラー鋼板等</t>
  </si>
  <si>
    <t>内壁</t>
  </si>
  <si>
    <t>繊維壁・クロス等</t>
  </si>
  <si>
    <t>　</t>
  </si>
  <si>
    <t>　</t>
  </si>
  <si>
    <t>現況用途</t>
  </si>
  <si>
    <t>店舗併用住宅</t>
  </si>
  <si>
    <t>徒歩換算距離</t>
  </si>
  <si>
    <t>　※賃貸総費用は積算価格を基礎に推定される賃貸借継続に掛かる費用総額である。</t>
  </si>
  <si>
    <t>土地還元利回り(基本利率-賃料変動率)</t>
  </si>
  <si>
    <t>建物還元利回り(元利逓増償還率)</t>
  </si>
  <si>
    <t>※新築建物ではないので、駆体と設備の耐用年数区分は行わない。</t>
  </si>
  <si>
    <t>収益価格</t>
  </si>
  <si>
    <t>現況非入力の場合＝増改築無しと自動表示される</t>
  </si>
  <si>
    <t>【占有補正に伴う現価率についてのコメントを記入する。建物によって異なる場合は加重平均値が示される】</t>
  </si>
  <si>
    <t>地　番</t>
  </si>
  <si>
    <t>地　目</t>
  </si>
  <si>
    <t>地　積</t>
  </si>
  <si>
    <t>家屋番号</t>
  </si>
  <si>
    <t>床面積</t>
  </si>
  <si>
    <t>延面積</t>
  </si>
  <si>
    <t>経済的耐用年数＝経過年数＋判定残存耐用年数が望ましい</t>
  </si>
  <si>
    <t>地裁前停</t>
  </si>
  <si>
    <t>北東</t>
  </si>
  <si>
    <t>二住居</t>
  </si>
  <si>
    <t>土地</t>
  </si>
  <si>
    <t>□　土地</t>
  </si>
  <si>
    <t>■　土地</t>
  </si>
  <si>
    <t>ケ</t>
  </si>
  <si>
    <t>戸建</t>
  </si>
  <si>
    <t>□　戸建</t>
  </si>
  <si>
    <t>■　戸建</t>
  </si>
  <si>
    <t>分冊の場合</t>
  </si>
  <si>
    <t>二種住居</t>
  </si>
  <si>
    <t>（道路の幅員等の個別的な規制を考慮しない一般的な規制）</t>
  </si>
  <si>
    <t>無し</t>
  </si>
  <si>
    <t>増改築禁止特約有り</t>
  </si>
  <si>
    <t>契約書有り、一時金及び預り金無し</t>
  </si>
  <si>
    <t>持分補正後価格</t>
  </si>
  <si>
    <t>（価格時点）</t>
  </si>
  <si>
    <t>（供給処理）</t>
  </si>
  <si>
    <t>（接面街路）</t>
  </si>
  <si>
    <t>（用途指定等）</t>
  </si>
  <si>
    <t>（地域の概要）</t>
  </si>
  <si>
    <t>（価　　格）</t>
  </si>
  <si>
    <t>■　マンション</t>
  </si>
  <si>
    <t>一括番号入力</t>
  </si>
  <si>
    <t>土地一括表示</t>
  </si>
  <si>
    <t>～</t>
  </si>
  <si>
    <t>（土地）</t>
  </si>
  <si>
    <t>第３　目的物件</t>
  </si>
  <si>
    <t>（建物）</t>
  </si>
  <si>
    <t>建物利用状況</t>
  </si>
  <si>
    <t>木造住宅敷地利用のため</t>
  </si>
  <si>
    <t>地代の滞納</t>
  </si>
  <si>
    <t>契約始期</t>
  </si>
  <si>
    <t>契約終期</t>
  </si>
  <si>
    <t>月額賃料</t>
  </si>
  <si>
    <t>商業地域</t>
  </si>
  <si>
    <t>指定建蔽率</t>
  </si>
  <si>
    <t>※用途地域は「下記のコード番号」を入力する。</t>
  </si>
  <si>
    <t>準工業</t>
  </si>
  <si>
    <t>準工業地域</t>
  </si>
  <si>
    <t>指定容積率</t>
  </si>
  <si>
    <t>所    在</t>
  </si>
  <si>
    <t>　 一部建物の占有減価率が異なる場合は、占有減価額の個別価格対比加重平均値を採用しています。　　　件外建物の占有には対応していますが、建物以外の占有は対応していません。（冒頭に注あり）</t>
  </si>
  <si>
    <t>定率法現価率＝残価率[累乗](経過年数/経済的耐用年数)</t>
  </si>
  <si>
    <t>定額法現価率＝1-(1-残価率)×(経過年数/経済的耐用年数)</t>
  </si>
  <si>
    <t>観察法現価率＝対象不動産の機能、維持管理、補修状況等を実態調査の上で判定する</t>
  </si>
  <si>
    <t>工業専用地域</t>
  </si>
  <si>
    <t>工業専用</t>
  </si>
  <si>
    <t>その他規制</t>
  </si>
  <si>
    <t>特になし</t>
  </si>
  <si>
    <t>現況床面積非入力の場合は、公簿面積を採用する</t>
  </si>
  <si>
    <t>経済耐用年数＜経過年数の入力は不可、収益価格に影響する</t>
  </si>
  <si>
    <t>第５　評価額算出の過程</t>
  </si>
  <si>
    <t>【市場性修正率のコメントを記入する】</t>
  </si>
  <si>
    <t>用途地域指定無し</t>
  </si>
  <si>
    <t>第二種低層住居専用地域</t>
  </si>
  <si>
    <t>二種低層住専</t>
  </si>
  <si>
    <t>残存耐用年数</t>
  </si>
  <si>
    <t>築後経過年数</t>
  </si>
  <si>
    <t>定率法現価率</t>
  </si>
  <si>
    <t>定額法現価率</t>
  </si>
  <si>
    <t>一中専</t>
  </si>
  <si>
    <t>第一種中高層住居専用地域</t>
  </si>
  <si>
    <t>一種中高層住専</t>
  </si>
  <si>
    <t>方位</t>
  </si>
  <si>
    <t>直線距離(ｍ)</t>
  </si>
  <si>
    <t>道路距離(ｍ)</t>
  </si>
  <si>
    <t>徒歩時間</t>
  </si>
  <si>
    <t>物件           番号</t>
  </si>
  <si>
    <t>物件            番号</t>
  </si>
  <si>
    <t>物件の種類コード表</t>
  </si>
  <si>
    <t>事件番号</t>
  </si>
  <si>
    <t>年次</t>
  </si>
  <si>
    <t>①　本件評価は、民事執行法により売却に付されることを前提とした適正価格を</t>
  </si>
  <si>
    <t>１　土地の概況及び利用状況等</t>
  </si>
  <si>
    <t>位置・交通</t>
  </si>
  <si>
    <t>画地条件</t>
  </si>
  <si>
    <t>（規模、形状等）</t>
  </si>
  <si>
    <t>２階建</t>
  </si>
  <si>
    <t>屋根</t>
  </si>
  <si>
    <t>瓦　葺</t>
  </si>
  <si>
    <t xml:space="preserve"> 格差</t>
  </si>
  <si>
    <t xml:space="preserve"> ア</t>
  </si>
  <si>
    <t xml:space="preserve"> イ</t>
  </si>
  <si>
    <t xml:space="preserve"> 再調達単価</t>
  </si>
  <si>
    <t xml:space="preserve"> ウ</t>
  </si>
  <si>
    <t xml:space="preserve"> ア×イ×ウ＝エ</t>
  </si>
  <si>
    <t>　※賃貸総収入は現行の賃貸借契約を基礎とする。</t>
  </si>
  <si>
    <t>（総費用/総収入）</t>
  </si>
  <si>
    <t xml:space="preserve"> 個別</t>
  </si>
  <si>
    <t xml:space="preserve"> （円／㎡）</t>
  </si>
  <si>
    <t>件外土地の区分と受命物件土地の面積合計、敷地利用権対象面積合計</t>
  </si>
  <si>
    <t>第二種住居地域</t>
  </si>
  <si>
    <t>建物個別評価額</t>
  </si>
  <si>
    <t>指定無</t>
  </si>
  <si>
    <t>※建物データ・敷地利用権面積の配分用・現況床面積</t>
  </si>
  <si>
    <t>建物床面積計</t>
  </si>
  <si>
    <t>公簿最大床面積</t>
  </si>
  <si>
    <t>現況最大床面積</t>
  </si>
  <si>
    <t>公簿延床面積</t>
  </si>
  <si>
    <t>採用最大床面積</t>
  </si>
  <si>
    <t>建物占有現価率の加重平均値</t>
  </si>
  <si>
    <t>一　　括　　価　　格</t>
  </si>
  <si>
    <t>北側，幅員６ｍ市道に接面する。</t>
  </si>
  <si>
    <t>非線引都市計画区域</t>
  </si>
  <si>
    <t>都市計画区域外</t>
  </si>
  <si>
    <t>都市ガス</t>
  </si>
  <si>
    <t>固評評価額</t>
  </si>
  <si>
    <t>増改築の有無</t>
  </si>
  <si>
    <t>　</t>
  </si>
  <si>
    <t>建築時期</t>
  </si>
  <si>
    <t>建築年次根拠</t>
  </si>
  <si>
    <t>経過年数</t>
  </si>
  <si>
    <t>総耐用年数</t>
  </si>
  <si>
    <t>木造</t>
  </si>
  <si>
    <t>一括評価物件</t>
  </si>
  <si>
    <t>物件番号は当初入力</t>
  </si>
  <si>
    <t>査定底地割合</t>
  </si>
  <si>
    <t>評価額単価</t>
  </si>
  <si>
    <t>イ　各建物に帰属する敷地利用権価格は、建築面積比（２②オ）配分である。</t>
  </si>
  <si>
    <t>（位　　置）</t>
  </si>
  <si>
    <t>（地　　積）</t>
  </si>
  <si>
    <t>１　目的物件の位置図</t>
  </si>
  <si>
    <t>建築面積比オ</t>
  </si>
  <si>
    <t>始点物件番号</t>
  </si>
  <si>
    <t>４．借地契約の内容</t>
  </si>
  <si>
    <t>分冊番号の入力</t>
  </si>
  <si>
    <t>件外物件の有無（0 or 1）</t>
  </si>
  <si>
    <t>マンション</t>
  </si>
  <si>
    <t>（注）再評価の倍委等に、再評価年月日を入力すると、建物価格が変化します。</t>
  </si>
  <si>
    <t>所有者が占有する</t>
  </si>
  <si>
    <t>地面雁太郎</t>
  </si>
  <si>
    <t>契約の目的</t>
  </si>
  <si>
    <t>調区</t>
  </si>
  <si>
    <t>非線引</t>
  </si>
  <si>
    <t>都計外</t>
  </si>
  <si>
    <t>商業</t>
  </si>
  <si>
    <t>契約面積</t>
  </si>
  <si>
    <t>入力敷地一括データ引用、異なる場合は別途入力</t>
  </si>
  <si>
    <t>現地調査</t>
  </si>
  <si>
    <t>評　　　価　　　書</t>
  </si>
  <si>
    <t>発行日付</t>
  </si>
  <si>
    <t>不動産鑑定士</t>
  </si>
  <si>
    <t>イ　個別格差：標準的画地との要因格差率である。</t>
  </si>
  <si>
    <t>価格要因</t>
  </si>
  <si>
    <t>相乗計</t>
  </si>
  <si>
    <t>再調達原価</t>
  </si>
  <si>
    <t>床面積</t>
  </si>
  <si>
    <t>現価率</t>
  </si>
  <si>
    <t>建物価格</t>
  </si>
  <si>
    <t>②　内訳価格及び一括価格</t>
  </si>
  <si>
    <t>割合合計</t>
  </si>
  <si>
    <t>個別評価基礎</t>
  </si>
  <si>
    <t>建物合計A</t>
  </si>
  <si>
    <t>一括価格(合計)</t>
  </si>
  <si>
    <t>(㎡)</t>
  </si>
  <si>
    <t>建築時期及び経済的残存耐用年数</t>
  </si>
  <si>
    <t>用途地域のコード表</t>
  </si>
  <si>
    <t>経済的総耐用年数</t>
  </si>
  <si>
    <t>※土地について一画地入力する場合は、番号を　「1～５」　又は　「一括」　「借地」 等として、一括入力する。</t>
  </si>
  <si>
    <t>一低専</t>
  </si>
  <si>
    <t>第一種低層住居専用地域</t>
  </si>
  <si>
    <t>一種低層住専</t>
  </si>
  <si>
    <t>１．付近の環境</t>
  </si>
  <si>
    <t>二低専</t>
  </si>
  <si>
    <t>1:2</t>
  </si>
  <si>
    <t>　※データ入力の際はウインドウを分割するか、不要行を非表示にして入力してください。</t>
  </si>
  <si>
    <t>再調達単価</t>
  </si>
  <si>
    <t>公簿延床面積</t>
  </si>
  <si>
    <t>現況延床面積</t>
  </si>
  <si>
    <t>再調達原価</t>
  </si>
  <si>
    <t>　</t>
  </si>
  <si>
    <t>建築年月日</t>
  </si>
  <si>
    <t>判定現価率（独自判定）</t>
  </si>
  <si>
    <t>交通施設</t>
  </si>
  <si>
    <t>会社名</t>
  </si>
  <si>
    <t>線名</t>
  </si>
  <si>
    <t>通常の総額処理桁位置</t>
  </si>
  <si>
    <t>　 備考欄を上手く利用されることをお勧め致します。</t>
  </si>
  <si>
    <t>経済的耐用年数</t>
  </si>
  <si>
    <t>　</t>
  </si>
  <si>
    <t>第４　目的物件の位置・環境等</t>
  </si>
  <si>
    <t>基本的事項及び対象不動産の表示等を入力します。　</t>
  </si>
  <si>
    <t>　※建築年次判定根拠欄には、公簿＝０、推定年次＝１を入力する。</t>
  </si>
  <si>
    <t>　</t>
  </si>
  <si>
    <t>ガス配管</t>
  </si>
  <si>
    <t>下水道</t>
  </si>
  <si>
    <t>目的物件（２）の敷地である。</t>
  </si>
  <si>
    <t>左記に同じ</t>
  </si>
  <si>
    <t>主建物</t>
  </si>
  <si>
    <t>平家建</t>
  </si>
  <si>
    <t>競売市場修正率</t>
  </si>
  <si>
    <t xml:space="preserve"> 標準価格</t>
  </si>
  <si>
    <t>※個別建物評価額合計値を基礎する。評価額は端数処理の関係等から計算行程試算結果とは一致しない場合がある。</t>
  </si>
  <si>
    <t>※計算方法の相違から、左記計算額と「評価書記載一括評価額」は端数が一致しない場合がある。</t>
  </si>
  <si>
    <t>※敷地利用権価格査定過程の内、各建物の敷地相当部分の位置補正は、敷地部分の位置の他、規模形状等も加味して判定する。</t>
  </si>
  <si>
    <t>個別格差</t>
  </si>
  <si>
    <t>地積(㎡)</t>
  </si>
  <si>
    <t>建付減価補正率</t>
  </si>
  <si>
    <t>個別価格比</t>
  </si>
  <si>
    <t>(円/㎡)</t>
  </si>
  <si>
    <t>建物配置図</t>
  </si>
  <si>
    <t>再評価・補充評価の実査年月日</t>
  </si>
  <si>
    <t>(千円未満四捨五入)</t>
  </si>
  <si>
    <t>①　土地価格</t>
  </si>
  <si>
    <t>②　建物価格</t>
  </si>
  <si>
    <t>内　　訳　　価　　格</t>
  </si>
  <si>
    <t>査定占有現価率</t>
  </si>
  <si>
    <t>イ　個別格差：標準的画地との要因格差である。</t>
  </si>
  <si>
    <t>エ　建付減価補正率：最有効使用からの乖離を考慮。</t>
  </si>
  <si>
    <t>　当該建物の再調達単価を，現在の建物建築費の推移動向，消費税の課税等も考慮した上，標準的な建築費に比準して求め，これに耐用年数に基づく方法並びに観察減価法を併用した減価修正を行って，建物価格を判定した。</t>
  </si>
  <si>
    <t>ア　再調達単価：標準的な再建築費（単価）である。</t>
  </si>
  <si>
    <t>イ　延床面積：現況延床面積は登記簿記載面積　</t>
  </si>
  <si>
    <t>【価格の試算】</t>
  </si>
  <si>
    <t>入力欄</t>
  </si>
  <si>
    <t>１．標準価格の査定</t>
  </si>
  <si>
    <t>公示標準地</t>
  </si>
  <si>
    <t>４　概略建物間取図</t>
  </si>
  <si>
    <t>５　写真</t>
  </si>
  <si>
    <t>含件外合計面積</t>
  </si>
  <si>
    <t>個別評価額合計</t>
  </si>
  <si>
    <t>市場性修正率</t>
  </si>
  <si>
    <t>占有現価補正</t>
  </si>
  <si>
    <t>接続記号</t>
  </si>
  <si>
    <t xml:space="preserve"> </t>
  </si>
  <si>
    <t>終点物件番号</t>
  </si>
  <si>
    <t>その他</t>
  </si>
  <si>
    <t>入力敷地データ引用、異なる場合は別途入力</t>
  </si>
  <si>
    <t>賃貸人</t>
  </si>
  <si>
    <t>痔主太郎</t>
  </si>
  <si>
    <t>独自データ入力の場合はコマンド消去。</t>
  </si>
  <si>
    <t>賃借人</t>
  </si>
  <si>
    <t>市街化</t>
  </si>
  <si>
    <t>都計入力結果</t>
  </si>
  <si>
    <t>近隣商業</t>
  </si>
  <si>
    <t>近隣商業地域</t>
  </si>
  <si>
    <t>特  記  事  項</t>
  </si>
  <si>
    <t>建物の利用状況</t>
  </si>
  <si>
    <t>専有面積</t>
  </si>
  <si>
    <t>（入札情報）</t>
  </si>
  <si>
    <t>建物延面積</t>
  </si>
  <si>
    <t>事件番号</t>
  </si>
  <si>
    <t>付近の状況</t>
  </si>
  <si>
    <t>主な公法上の規制等</t>
  </si>
  <si>
    <t>都市計画区分</t>
  </si>
  <si>
    <t>　</t>
  </si>
  <si>
    <t>物件の種類</t>
  </si>
  <si>
    <t>評価対象地積</t>
  </si>
  <si>
    <t>敷地価額</t>
  </si>
  <si>
    <t>共有持分割合</t>
  </si>
  <si>
    <t>共有持分補正率</t>
  </si>
  <si>
    <t>敷地価額</t>
  </si>
  <si>
    <t>権利の態様ｺｰﾄﾞ</t>
  </si>
  <si>
    <t>制約権利等</t>
  </si>
  <si>
    <t>査定底地割合</t>
  </si>
  <si>
    <t>底地市場補正率</t>
  </si>
  <si>
    <t>占有補正現価率</t>
  </si>
  <si>
    <t>土地評価額</t>
  </si>
  <si>
    <t>備考</t>
  </si>
  <si>
    <t>補正に際しての特記事項を記載する。</t>
  </si>
  <si>
    <t>エ</t>
  </si>
  <si>
    <t>ア×イ×ウ×エ＝オ</t>
  </si>
  <si>
    <t>□ その他（                　　　　　　　　　 　　　　　　　　　）</t>
  </si>
  <si>
    <t>■ その他（　　　　）</t>
  </si>
  <si>
    <t>□ 第三者占有あり</t>
  </si>
  <si>
    <t>■ 第三者占有あり</t>
  </si>
  <si>
    <t>□ 賃借権あり</t>
  </si>
  <si>
    <t>■ 賃借権あり</t>
  </si>
  <si>
    <t>※土地の占有補正減価率は、土地のみの評価の場合における（法定地上権、借地権、使用借権）以外の一時占有等の補正を行う。</t>
  </si>
  <si>
    <t>４．建物価格の査定</t>
  </si>
  <si>
    <t>償却残価率</t>
  </si>
  <si>
    <t>※2.契約欄が「１」の場合は賃借人が所在し、「０」の場合は賃借人が所在しない室又は戸の表示である。</t>
  </si>
  <si>
    <t>※粗利回り法が望ましいか。ＤＣＦ法が望ましいか。</t>
  </si>
  <si>
    <t>※粗利回り法では総合還元利回りの把握が困難である。</t>
  </si>
  <si>
    <t>※預かり金は承継されない。</t>
  </si>
  <si>
    <t>※減価償却費の控除はよくない。元利逓増償還率によるべきでは。</t>
  </si>
  <si>
    <t>収益価格の試算</t>
  </si>
  <si>
    <t>賃貸借状況記載による</t>
  </si>
  <si>
    <t>賃貸収入の明細</t>
  </si>
  <si>
    <t>賃貸戸数</t>
  </si>
  <si>
    <t>現況空室数</t>
  </si>
  <si>
    <t>戸当り月額賃料</t>
  </si>
  <si>
    <t>戸当り預り金</t>
  </si>
  <si>
    <t>戸当り一時金</t>
  </si>
  <si>
    <t>月額総賃料</t>
  </si>
  <si>
    <t>収益性補正、用途性補正、競売固有補正率は一律である。</t>
  </si>
  <si>
    <t>合算</t>
  </si>
  <si>
    <t>決定現価率</t>
  </si>
  <si>
    <t>建物積算価額</t>
  </si>
  <si>
    <t>敷地相当地積</t>
  </si>
  <si>
    <t>一括評価額</t>
  </si>
  <si>
    <t xml:space="preserve"> </t>
  </si>
  <si>
    <t>　</t>
  </si>
  <si>
    <t>供給区域</t>
  </si>
  <si>
    <t>処理区域</t>
  </si>
  <si>
    <t>※複数建物の敷地利用権が異なる場合の敷地利用権割合</t>
  </si>
  <si>
    <t>個別合計</t>
  </si>
  <si>
    <t>個別評価額P1</t>
  </si>
  <si>
    <t>個別評価額P2</t>
  </si>
  <si>
    <t>占有現価加重平均値</t>
  </si>
  <si>
    <t>公簿延面積</t>
  </si>
  <si>
    <t>現況延面積</t>
  </si>
  <si>
    <t>上水道</t>
  </si>
  <si>
    <t>※個別評価配分額計算(土地)</t>
  </si>
  <si>
    <t>土地個別評価額</t>
  </si>
  <si>
    <t>配分比率</t>
  </si>
  <si>
    <t>配分額</t>
  </si>
  <si>
    <t>※個別評価配分額計算(建物)</t>
  </si>
  <si>
    <t>配分額合計</t>
  </si>
  <si>
    <t>建物還元利回り</t>
  </si>
  <si>
    <t>※総合還元利回りは土地建物利回りの積算価格比による加重平均値である。</t>
  </si>
  <si>
    <t>土地建物収益価格</t>
  </si>
  <si>
    <t>収益価格Ｂ</t>
  </si>
  <si>
    <t>２　建物の概況・利用状況等</t>
  </si>
  <si>
    <t>※収益価格＝純収益÷総合還元利回り</t>
  </si>
  <si>
    <t>積算価格比</t>
  </si>
  <si>
    <t>添付明細書2.　収益性補正率判定の基礎とする受命物件の収益価格試算</t>
  </si>
  <si>
    <t>敷地面積</t>
  </si>
  <si>
    <t>積算敷地価格</t>
  </si>
  <si>
    <t>合計積算価格</t>
  </si>
  <si>
    <t>積算建物価格</t>
  </si>
  <si>
    <t>※現況空室部分及び所有者が自己使用する部分についても、賃貸を想定する。</t>
  </si>
  <si>
    <t>Ａ・保証金等運用益不算入</t>
  </si>
  <si>
    <t>Ｂ・一般的設定総収入</t>
  </si>
  <si>
    <t>（運用利回り）</t>
  </si>
  <si>
    <t>原  評  価  書  参  照</t>
  </si>
  <si>
    <t>公図等写</t>
  </si>
  <si>
    <t>再評価・補充評価の受理年月日</t>
  </si>
  <si>
    <t>建物図面写</t>
  </si>
  <si>
    <t>新規=1 　再評価=2 　補充=3</t>
  </si>
  <si>
    <t>位置図</t>
  </si>
  <si>
    <t>　</t>
  </si>
  <si>
    <t>※敷地利用権の位置等補正を行う場合は、備考欄に注記をされるのが宜しいと存じます。</t>
  </si>
  <si>
    <t>（償却期間）</t>
  </si>
  <si>
    <t>（償却利回り）</t>
  </si>
  <si>
    <t>（年賦償還率）</t>
  </si>
  <si>
    <t>収入合計</t>
  </si>
  <si>
    <t>第６　参考価格資料</t>
  </si>
  <si>
    <t>第７　附属資料の表示</t>
  </si>
  <si>
    <t>２　公図写</t>
  </si>
  <si>
    <t>１　基礎となる価格</t>
  </si>
  <si>
    <t>（㎡）</t>
  </si>
  <si>
    <t>ウ</t>
  </si>
  <si>
    <t>◇時点修正：公示価格等の価格時点から評価日までの推定変動率である。</t>
  </si>
  <si>
    <t>　　　　　　　</t>
  </si>
  <si>
    <t>ア　標準価格（公示価格等からの規準）</t>
  </si>
  <si>
    <t>最初の土地番号</t>
  </si>
  <si>
    <t>最後の土地番号</t>
  </si>
  <si>
    <t>の建物のための敷地利用権等価格を</t>
  </si>
  <si>
    <t>ａ公示価格</t>
  </si>
  <si>
    <t>ｂ時点修正</t>
  </si>
  <si>
    <t>長方形地、標準的規模である。</t>
  </si>
  <si>
    <t>※件外建物ありの場合は、■件外建物（）内に敷地利用権の有無を記載する。</t>
  </si>
  <si>
    <t>評価対象面積</t>
  </si>
  <si>
    <t>ｃ標準化補正</t>
  </si>
  <si>
    <t>　底地価格は市場性補正を施していません。敷地利用権についても同様です。</t>
  </si>
  <si>
    <t>２．権利割合や汎用補正率等の査定</t>
  </si>
  <si>
    <t>借地権割合</t>
  </si>
  <si>
    <t>底地等価格</t>
  </si>
  <si>
    <t>建物+利用権</t>
  </si>
  <si>
    <t>持分補正前価格</t>
  </si>
  <si>
    <t>お疲れ様、印刷指定方法にご注意、             印刷後はアクテイブシートを元に戻して下さい。　【マニュアル読んでね】</t>
  </si>
  <si>
    <t>土地建物収益価格・Ａ</t>
  </si>
  <si>
    <t>土地建物収益価格・Ｂ</t>
  </si>
  <si>
    <t>(積算価格比)</t>
  </si>
  <si>
    <t>用途地域</t>
  </si>
  <si>
    <t>防火規制</t>
  </si>
  <si>
    <t>その他の規制</t>
  </si>
  <si>
    <t>特　記　事　項</t>
  </si>
  <si>
    <t>床</t>
  </si>
  <si>
    <t>保守管理の状態</t>
  </si>
  <si>
    <t>　 共有持分が、建物により異なる場合は注意する（手作業になる）。　</t>
  </si>
  <si>
    <t>共有持分</t>
  </si>
  <si>
    <t>持分補正率</t>
  </si>
  <si>
    <t>建物共有等価額</t>
  </si>
  <si>
    <t>柳ヶ瀬１丁目201番地</t>
  </si>
  <si>
    <t>競売市場修正率は60％固定である。</t>
  </si>
  <si>
    <t>更地価格</t>
  </si>
  <si>
    <t>③　現地での物件調査は目視可能な部分に限定され、物件に関する情報提供の内容も</t>
  </si>
  <si>
    <t>行うことを前提とした場合の合計価格である。</t>
  </si>
  <si>
    <t>　　無道路地、私道接面、境界不明、越境部分有り、地役権負担有り、仮換地指定あり、私道負担あり、市街化調整区域、接道幅員○○ｍ、等々</t>
  </si>
  <si>
    <t>目的外建物あり」と「目的外建物(敷地利用権有)あり」は複写して使用する。</t>
  </si>
  <si>
    <t>敷地利用権の有無で分類する</t>
  </si>
  <si>
    <t>□ 短期賃借権あり</t>
  </si>
  <si>
    <t>■ 短期賃借権あり</t>
  </si>
  <si>
    <t>現況概測面積の入力</t>
  </si>
  <si>
    <t>最初の物件番号</t>
  </si>
  <si>
    <t>最後の物件番号</t>
  </si>
  <si>
    <t>添付明細書-1　賃貸借の状況</t>
  </si>
  <si>
    <t>階層</t>
  </si>
  <si>
    <t>賃貸面積</t>
  </si>
  <si>
    <t>契約</t>
  </si>
  <si>
    <t>月額賃料</t>
  </si>
  <si>
    <t>保証金</t>
  </si>
  <si>
    <t>一時金</t>
  </si>
  <si>
    <t>賃借人</t>
  </si>
  <si>
    <t>契約始期</t>
  </si>
  <si>
    <t>契約終期</t>
  </si>
  <si>
    <t>備　　考</t>
  </si>
  <si>
    <t>合意更新</t>
  </si>
  <si>
    <t>合計</t>
  </si>
  <si>
    <t>（記載の留意事項）</t>
  </si>
  <si>
    <t>※1.床面積は各階毎に表示する。重複表示はしない。賃貸面積は、賃貸契約毎に表示する。</t>
  </si>
  <si>
    <t>※建物の現況表示床面積</t>
  </si>
  <si>
    <t>１①オ、１②エ</t>
  </si>
  <si>
    <t>３①ウ</t>
  </si>
  <si>
    <t>□ 未登記増築部分あり</t>
  </si>
  <si>
    <t>■ 未登記増築部分あり</t>
  </si>
  <si>
    <t>月額賃料Ｂ</t>
  </si>
  <si>
    <t>保証金Ｂ</t>
  </si>
  <si>
    <t>一時金Ｂ</t>
  </si>
  <si>
    <t>　※添付明細書１．　賃貸借状況に記載の通りである。</t>
  </si>
  <si>
    <t xml:space="preserve"> </t>
  </si>
  <si>
    <t>□ 管理費等の滞納あり</t>
  </si>
  <si>
    <t>■ 管理費等の滞納あり</t>
  </si>
  <si>
    <t>占有減価補正</t>
  </si>
  <si>
    <t>利用権付建物</t>
  </si>
  <si>
    <t>空室数</t>
  </si>
  <si>
    <t>敷金合計</t>
  </si>
  <si>
    <t>礼金合計</t>
  </si>
  <si>
    <t>現況月額総賃料</t>
  </si>
  <si>
    <t>合　　計</t>
  </si>
  <si>
    <t>その他の収入</t>
  </si>
  <si>
    <t>年額受取賃料</t>
  </si>
  <si>
    <t>(基本利率)</t>
  </si>
  <si>
    <t>預り金運用益</t>
  </si>
  <si>
    <t>運用利回り</t>
  </si>
  <si>
    <t>住宅 　Ｗ２</t>
  </si>
  <si>
    <t>水道・ガス・下水</t>
  </si>
  <si>
    <t>用途地域</t>
  </si>
  <si>
    <t>第二種中高層住居専用地域</t>
  </si>
  <si>
    <t>現価率の決定（定率=1,定額=2,独自=3）</t>
  </si>
  <si>
    <t>(賃料変動率)</t>
  </si>
  <si>
    <t>一時金償却額</t>
  </si>
  <si>
    <t>償却期間</t>
  </si>
  <si>
    <t>収益耐用年数</t>
  </si>
  <si>
    <t>その他収入</t>
  </si>
  <si>
    <t>償却利回り</t>
  </si>
  <si>
    <t>償却後残価率</t>
  </si>
  <si>
    <t>定率法現価率</t>
  </si>
  <si>
    <t>敷地部分位置補正</t>
  </si>
  <si>
    <t>注意</t>
  </si>
  <si>
    <t>敷地利用権等</t>
  </si>
  <si>
    <t>敷地権割合</t>
  </si>
  <si>
    <t>利用権価額</t>
  </si>
  <si>
    <t>案分利用権計算</t>
  </si>
  <si>
    <t>敷地権市場性</t>
  </si>
  <si>
    <t>建物共有持分</t>
  </si>
  <si>
    <t>共有持分補正</t>
  </si>
  <si>
    <t>建敷共有等価額</t>
  </si>
  <si>
    <t>なし</t>
  </si>
  <si>
    <t>占有補正現価</t>
  </si>
  <si>
    <t>損害保険料</t>
  </si>
  <si>
    <t>土地税負担率</t>
  </si>
  <si>
    <t>0.7×0.3×0.017＝0.0036</t>
  </si>
  <si>
    <t>純　収　益</t>
  </si>
  <si>
    <t>土地建物帰属収益</t>
  </si>
  <si>
    <t>帰属収益Ｂ</t>
  </si>
  <si>
    <t>還元利回り</t>
  </si>
  <si>
    <t>総合還元利回り</t>
  </si>
  <si>
    <t>土地還元利回り</t>
  </si>
  <si>
    <t>（入札案内）</t>
  </si>
  <si>
    <t>添付資料の枚数入力　※数値のみ入力</t>
  </si>
  <si>
    <t>写真</t>
  </si>
  <si>
    <t>公図</t>
  </si>
  <si>
    <t>間取り図</t>
  </si>
  <si>
    <t>新規評価か再評価等か</t>
  </si>
  <si>
    <t>【付属資料】</t>
  </si>
  <si>
    <t>（当初評価）</t>
  </si>
  <si>
    <t>（再評価・補充評価）</t>
  </si>
  <si>
    <t>件外区分</t>
  </si>
  <si>
    <t>　</t>
  </si>
  <si>
    <t>共有持分分母</t>
  </si>
  <si>
    <t>共有持分分子</t>
  </si>
  <si>
    <t>【建物の表示】</t>
  </si>
  <si>
    <t>※物件番号に（）は不要、件外の建物がある場合は番号を「件外」として入力する。</t>
  </si>
  <si>
    <t>JR東海道本線「岐阜駅」の北方道路距離約３kmに位置する</t>
  </si>
  <si>
    <t>②　内訳価格は、配当等の判断のために一括価格の内訳として算出した価格である。</t>
  </si>
  <si>
    <t>最初の建物番号</t>
  </si>
  <si>
    <t>最後の建物番号</t>
  </si>
  <si>
    <t>の土地価格の内訳価格は、</t>
  </si>
  <si>
    <t>現況３階以上計</t>
  </si>
  <si>
    <t>公簿延床面積</t>
  </si>
  <si>
    <t>特記する事項はない。</t>
  </si>
  <si>
    <t>ｄ地域格差</t>
  </si>
  <si>
    <t>ｅ標準価格</t>
  </si>
  <si>
    <t>端数調整桁</t>
  </si>
  <si>
    <t>※地裁が記入する。</t>
  </si>
  <si>
    <t>□ 買受適格証明を要す</t>
  </si>
  <si>
    <t>■ 買受適格証明を要す</t>
  </si>
  <si>
    <t>□ 借地権付建物</t>
  </si>
  <si>
    <t>■ 借地権付建物</t>
  </si>
  <si>
    <t>居住用マンション</t>
  </si>
  <si>
    <t>受理日付</t>
  </si>
  <si>
    <t>上記目的物件の更地価格を算出し、</t>
  </si>
  <si>
    <t>上記以外の物件</t>
  </si>
  <si>
    <t>現地調査日</t>
  </si>
  <si>
    <t>□ 法定地上権付建物</t>
  </si>
  <si>
    <t>■ 法定地上権付建物</t>
  </si>
  <si>
    <t>負担する権利態様</t>
  </si>
  <si>
    <t>対象物件の類型</t>
  </si>
  <si>
    <t>負担無し</t>
  </si>
  <si>
    <t>法定地上権</t>
  </si>
  <si>
    <t>件外合算敷地面積</t>
  </si>
  <si>
    <t>査定割合</t>
  </si>
  <si>
    <t>３．土地価格の査定・入力の際はウインドウを分割するか、不要行を非表示にして入力してください。</t>
  </si>
  <si>
    <t>受命物件番号</t>
  </si>
  <si>
    <t>全件</t>
  </si>
  <si>
    <t>　</t>
  </si>
  <si>
    <t xml:space="preserve"> </t>
  </si>
  <si>
    <t>更地標準価格</t>
  </si>
  <si>
    <t>件外の区分</t>
  </si>
  <si>
    <t>瑕疵担保責任がないこと等） 等の特殊性を反映させた価格とする。</t>
  </si>
  <si>
    <t>※その他を記載する場合は、■その他（　　　）内に、該当事項を記入する。</t>
  </si>
  <si>
    <t>□ その他売却物件あり</t>
  </si>
  <si>
    <t>■ その他売却物件あり</t>
  </si>
  <si>
    <t>□ 目的外建物(敷地利用権有)あり</t>
  </si>
  <si>
    <t>■ 目的外建物あり</t>
  </si>
  <si>
    <t>■ 目的外建物(敷地利用権有)あり</t>
  </si>
  <si>
    <t>敷地利用権割合</t>
  </si>
  <si>
    <t>□ その他（                　　　　　　　　　　　 　　　　　　　）</t>
  </si>
  <si>
    <t>■ その他（　　　）</t>
  </si>
  <si>
    <t>標準価格</t>
  </si>
  <si>
    <t>（建　物）</t>
  </si>
  <si>
    <t>（土　地）</t>
  </si>
  <si>
    <t>×────</t>
  </si>
  <si>
    <t xml:space="preserve"> 現価率</t>
  </si>
  <si>
    <t>基礎となる価格の合計額</t>
  </si>
  <si>
    <t>□ 現況（□土地 □建物），概測 （約</t>
  </si>
  <si>
    <t>■ 現況（■土地 □建物），概測 （約</t>
  </si>
  <si>
    <t>土地番号及び土地現況入力</t>
  </si>
  <si>
    <t>■ 現況（□土地 ■建物(１)），概測 （約</t>
  </si>
  <si>
    <t>建物番号及び建物現況入力</t>
  </si>
  <si>
    <t>□ 附属建物あり</t>
  </si>
  <si>
    <t>■ 附属建物あり</t>
  </si>
  <si>
    <t>□市街化調整区域</t>
  </si>
  <si>
    <t>※駐車場等の月額収入</t>
  </si>
  <si>
    <t>（注）所有者が自己使用する部分についても、賃貸を想定する。</t>
  </si>
  <si>
    <t>総　収　入</t>
  </si>
  <si>
    <t>岐阜ー１０</t>
  </si>
  <si>
    <t>岐阜市柳ヶ瀬３丁目５番</t>
  </si>
  <si>
    <t>宅　地</t>
  </si>
  <si>
    <t>接面道路</t>
  </si>
  <si>
    <t>西、６ｍ市道</t>
  </si>
  <si>
    <t>形状</t>
  </si>
  <si>
    <t>現況床面積</t>
  </si>
  <si>
    <t>供給処理施設</t>
  </si>
  <si>
    <t>駅名距離</t>
  </si>
  <si>
    <t>周辺の利用状況</t>
  </si>
  <si>
    <t>中規模一般住宅、マンションが混在する地域</t>
  </si>
  <si>
    <t>建蔽率</t>
  </si>
  <si>
    <t>容積率</t>
  </si>
  <si>
    <t>定額法現価率</t>
  </si>
  <si>
    <t>観察法現価率</t>
  </si>
  <si>
    <t>採用現価率</t>
  </si>
  <si>
    <t>元利逓増償還率</t>
  </si>
  <si>
    <t>建付減価補正</t>
  </si>
  <si>
    <t>（通常設定）</t>
  </si>
  <si>
    <t>残存耐用年数がマイナスになると、償還率もマイナスになる。</t>
  </si>
  <si>
    <t>※賃貸総収入は現行の賃貸借契約を基礎とする。</t>
  </si>
  <si>
    <t>建物及敷地権</t>
  </si>
  <si>
    <t>土地公課金</t>
  </si>
  <si>
    <t>推定土地価格の</t>
  </si>
  <si>
    <t>内、建物価格</t>
  </si>
  <si>
    <t>建物公課金</t>
  </si>
  <si>
    <t>建物積算価格の</t>
  </si>
  <si>
    <t>再調達原価</t>
  </si>
  <si>
    <t>構造等</t>
  </si>
  <si>
    <t>0.6×0.017＝0.102</t>
  </si>
  <si>
    <t>空室損失金</t>
  </si>
  <si>
    <t>そ　の　他</t>
  </si>
  <si>
    <t>費用合計</t>
  </si>
  <si>
    <t>貸倒準備費</t>
  </si>
  <si>
    <t>建物税負担率</t>
  </si>
  <si>
    <t>建物個別評価</t>
  </si>
  <si>
    <t>【通常の純収益】</t>
  </si>
  <si>
    <t>建築年次</t>
  </si>
  <si>
    <t>間取り</t>
  </si>
  <si>
    <t>※物件番号に（）は不要、件外の敷地がある場合は番号を「件外」として入力し、末尾件外欄に「1」を入力。借地の場合は「借地」等</t>
  </si>
  <si>
    <t>物件番号</t>
  </si>
  <si>
    <t>柳ヶ瀬１丁目</t>
  </si>
  <si>
    <t>　</t>
  </si>
  <si>
    <t>地番</t>
  </si>
  <si>
    <t>101番</t>
  </si>
  <si>
    <t>　</t>
  </si>
  <si>
    <t>※第三者占有による補正の必要性は認められない。</t>
  </si>
  <si>
    <t>※本件の場合は、特段の市場性修正は不要と認める。</t>
  </si>
  <si>
    <t>オ　競売市場修正率</t>
  </si>
  <si>
    <t>家屋番号</t>
  </si>
  <si>
    <t>201番</t>
  </si>
  <si>
    <t>種類</t>
  </si>
  <si>
    <t>居　宅</t>
  </si>
  <si>
    <t>　</t>
  </si>
  <si>
    <t>構造</t>
  </si>
  <si>
    <t>木造瓦葺</t>
  </si>
  <si>
    <t>　</t>
  </si>
  <si>
    <t>階層</t>
  </si>
  <si>
    <t>　</t>
  </si>
  <si>
    <t>床面積１階</t>
  </si>
  <si>
    <t>　</t>
  </si>
  <si>
    <t>２階</t>
  </si>
  <si>
    <t>　</t>
  </si>
  <si>
    <t>３階以上計</t>
  </si>
  <si>
    <t>現況１階</t>
  </si>
  <si>
    <t>　</t>
  </si>
  <si>
    <t>現況２階</t>
  </si>
  <si>
    <t>整理番号</t>
  </si>
  <si>
    <t>(アットホーム使用欄)</t>
  </si>
  <si>
    <t>所　在　地</t>
  </si>
  <si>
    <t>現況延床面積</t>
  </si>
  <si>
    <t>　控除した価格である。</t>
  </si>
  <si>
    <t>一括評価対象の物件表示に（）は不要です。一括対象物件番号が錯綜する場合は，関数消去の上で別途入力してください。</t>
  </si>
  <si>
    <t>(構造種類)</t>
  </si>
  <si>
    <t>(階建)</t>
  </si>
  <si>
    <t>(延面積:㎡)</t>
  </si>
  <si>
    <t>(建築年次)</t>
  </si>
  <si>
    <t>(間取り)</t>
  </si>
  <si>
    <t>建物①</t>
  </si>
  <si>
    <t>建物②</t>
  </si>
  <si>
    <t>評価日付</t>
  </si>
  <si>
    <t>評価書の宛先</t>
  </si>
  <si>
    <t>概略間取図</t>
  </si>
  <si>
    <t>　</t>
  </si>
  <si>
    <t>件外建物の有無（(0 or 1）</t>
  </si>
  <si>
    <t>借地権</t>
  </si>
  <si>
    <t>使用借権</t>
  </si>
  <si>
    <t>権利の錯綜</t>
  </si>
  <si>
    <t>再評価等事項</t>
  </si>
  <si>
    <t>法定地上権の成立を与件として、補充評価を行うものである。</t>
  </si>
  <si>
    <t>原評価年月日</t>
  </si>
  <si>
    <t>分冊番号</t>
  </si>
  <si>
    <t>一括番号</t>
  </si>
  <si>
    <t>建物</t>
  </si>
  <si>
    <t>天井</t>
  </si>
  <si>
    <t>個別格差補正</t>
  </si>
  <si>
    <t>◇標準化補正：公示地等標準的画地との要因格差である。（各要因格差の相乗値）</t>
  </si>
  <si>
    <t>（相乗計）</t>
  </si>
  <si>
    <t>規模・形状</t>
  </si>
  <si>
    <t>間口・奥行</t>
  </si>
  <si>
    <t>方位高低差</t>
  </si>
  <si>
    <t>接面街路他</t>
  </si>
  <si>
    <t>２．個別価格の判定</t>
  </si>
  <si>
    <t>３．評価額の判定</t>
  </si>
  <si>
    <t>物件番号</t>
  </si>
  <si>
    <t>建付地価格(円)</t>
  </si>
  <si>
    <t>備　　　考</t>
  </si>
  <si>
    <t>敷地利用権価格(円)</t>
  </si>
  <si>
    <t>(千円未満四捨五入)</t>
  </si>
  <si>
    <t>イ　敷地利用権割合</t>
  </si>
  <si>
    <t>建付地価格</t>
  </si>
  <si>
    <t>建物価格合計</t>
  </si>
  <si>
    <t>占有減価率</t>
  </si>
  <si>
    <t>合計額</t>
  </si>
  <si>
    <t>土地建物合計</t>
  </si>
  <si>
    <t>評価額</t>
  </si>
  <si>
    <t>添付間取り図のとおり</t>
  </si>
  <si>
    <t>【公示価格・調査価格等資料】（取引事例の場合もこの欄に入力する）</t>
  </si>
  <si>
    <t>公示地等番号</t>
  </si>
  <si>
    <t>ａ</t>
  </si>
  <si>
    <t>土地建物帰属収益・Ａ（保証金等運用益不算入総収入−総費用）</t>
  </si>
  <si>
    <t>所在地</t>
  </si>
  <si>
    <t>公示価格</t>
  </si>
  <si>
    <t>地積</t>
  </si>
  <si>
    <t>地目</t>
  </si>
  <si>
    <t>基準日</t>
  </si>
  <si>
    <t xml:space="preserve"> 建物の価格　(円)</t>
  </si>
  <si>
    <t>※物件多数の場合は市町村名・大字名等は地内入力する。地内表示は不要。</t>
  </si>
  <si>
    <t>　</t>
  </si>
  <si>
    <t>地内の表示</t>
  </si>
  <si>
    <t>全件一括</t>
  </si>
  <si>
    <t>12～20敷地利用権合計</t>
  </si>
  <si>
    <t>敷地利用権合計</t>
  </si>
  <si>
    <t>■市街化調整区域</t>
  </si>
  <si>
    <t>■非線引都市計画区域</t>
  </si>
  <si>
    <t>年賦償還率</t>
  </si>
  <si>
    <t>残存耐用年数</t>
  </si>
  <si>
    <t>収入合計・Ａ</t>
  </si>
  <si>
    <t>（預り金運用益等不加算）</t>
  </si>
  <si>
    <t>※残存耐用年数マイナスの場合に適宜入力。</t>
  </si>
  <si>
    <t>収入合計・Ｂ</t>
  </si>
  <si>
    <t>維持管理費</t>
  </si>
  <si>
    <t>受取賃料の内</t>
  </si>
  <si>
    <t>内、敷地価格</t>
  </si>
  <si>
    <t>下記建物の内、入札案内に記載する建物番号を選択して下欄に入力する。</t>
  </si>
  <si>
    <t>選択番号</t>
  </si>
  <si>
    <t>現況延面積</t>
  </si>
  <si>
    <t>※賃貸総費用は積算価格を基礎に推定される賃貸借継続に掛かる費用総額である。</t>
  </si>
  <si>
    <t>エ　市場性修正率</t>
  </si>
  <si>
    <t>対象不動産の特性に鑑みて需要が乏しいと認められる場合は補正を行う。</t>
  </si>
  <si>
    <t>※交通施設の方位は、施設からの方角で八方位表示である。</t>
  </si>
  <si>
    <t>──</t>
  </si>
  <si>
    <t>土地の利用状況</t>
  </si>
  <si>
    <t>物件番号等</t>
  </si>
  <si>
    <t>物件番号</t>
  </si>
  <si>
    <t>仕　　様</t>
  </si>
  <si>
    <t>屋根</t>
  </si>
  <si>
    <t>外壁</t>
  </si>
  <si>
    <t>内壁</t>
  </si>
  <si>
    <t>床面積(現況)</t>
  </si>
  <si>
    <t>現況用途等</t>
  </si>
  <si>
    <t>建物の品等</t>
  </si>
  <si>
    <t>①</t>
  </si>
  <si>
    <t xml:space="preserve"> 物　件</t>
  </si>
  <si>
    <t>第２の評価条件欄記載の不動産競売市場の特殊性を考慮の上、競売市場修正率を判定する。</t>
  </si>
  <si>
    <t>　対象物件の種類は１～４の四分類をする。件外の建物や敷地がある場合は下段に「１」を入力する。</t>
  </si>
  <si>
    <t>建物一括表示</t>
  </si>
  <si>
    <t>～</t>
  </si>
  <si>
    <t>土地のみの売却</t>
  </si>
  <si>
    <t>全件一括表示</t>
  </si>
  <si>
    <t>～</t>
  </si>
  <si>
    <t>土地建物の内，用途が居住用</t>
  </si>
  <si>
    <t>ｱｯﾄﾎｰﾑ物件番号</t>
  </si>
  <si>
    <t>間取り図</t>
  </si>
  <si>
    <t>(所在地)</t>
  </si>
  <si>
    <t>(マンション名)</t>
  </si>
  <si>
    <t>交　　　通</t>
  </si>
  <si>
    <t>（徒歩時間）</t>
  </si>
  <si>
    <t>現況床合計</t>
  </si>
  <si>
    <t>(建物の表示)</t>
  </si>
  <si>
    <t>　※地価公示＝１，地価調査＝２、取引事例等＝３</t>
  </si>
  <si>
    <t>地価公示</t>
  </si>
  <si>
    <t>地価調査</t>
  </si>
  <si>
    <t>取引事例等</t>
  </si>
  <si>
    <t>時点修正</t>
  </si>
  <si>
    <t>補正率</t>
  </si>
  <si>
    <t>建付減価</t>
  </si>
  <si>
    <t>公示等の区分</t>
  </si>
  <si>
    <t>利用・隣地</t>
  </si>
  <si>
    <t>発行日付</t>
  </si>
  <si>
    <t>※宛先については，本庁は支部記載欄が空白となります。</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</si>
</sst>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quot;"/>
    <numFmt numFmtId="177" formatCode="0.0%"/>
    <numFmt numFmtId="178" formatCode="General\%"/>
    <numFmt numFmtId="179" formatCode="0.000%"/>
    <numFmt numFmtId="180" formatCode="#,##0.0&quot;年&quot;"/>
    <numFmt numFmtId="181" formatCode="0.0000%"/>
    <numFmt numFmtId="182" formatCode="#,##0.0_ ;[Red]\-#,##0.0\ "/>
    <numFmt numFmtId="183" formatCode="&quot;\&quot;#,##0_);\(&quot;\&quot;#,##0\)"/>
    <numFmt numFmtId="184" formatCode="&quot;\&quot;#,##0_);[Red]\(&quot;\&quot;#,##0\)"/>
    <numFmt numFmtId="185" formatCode="#,##0_);\(#,##0\)"/>
    <numFmt numFmtId="186" formatCode="0.0000000"/>
    <numFmt numFmtId="187" formatCode="#,##0.0&quot; 年&quot;"/>
    <numFmt numFmtId="188" formatCode="#,##0_);[Red]\(#,##0\)"/>
    <numFmt numFmtId="189" formatCode="#,##0_ "/>
    <numFmt numFmtId="190" formatCode="[$¥-411]#,##0_);[Red]\([$¥-411]#,##0\)"/>
    <numFmt numFmtId="191" formatCode="#,##0_ ;[Red]\-#,##0\ "/>
    <numFmt numFmtId="192" formatCode="0_);[Red]\(0\)"/>
    <numFmt numFmtId="193" formatCode="0&quot;分&quot;"/>
    <numFmt numFmtId="194" formatCode="#,##0&quot;ｍ&quot;"/>
    <numFmt numFmtId="195" formatCode="[$-411]ggge&quot;年&quot;m&quot;月&quot;"/>
    <numFmt numFmtId="196" formatCode="General&quot;枚&quot;"/>
    <numFmt numFmtId="197" formatCode="#,##0&quot;m&quot;"/>
    <numFmt numFmtId="198" formatCode="#,##0&quot;円&quot;"/>
    <numFmt numFmtId="199" formatCode="[$-411]ggge&quot;年&quot;m&quot;月&quot;&quot;　頃、建築&quot;"/>
    <numFmt numFmtId="200" formatCode="#,##0.00_ "/>
    <numFmt numFmtId="201" formatCode="0.0_ "/>
    <numFmt numFmtId="202" formatCode="0.00_ "/>
    <numFmt numFmtId="203" formatCode="[$-411]ggge&quot;年&quot;m&quot;月&quot;d&quot;日&quot;;@"/>
    <numFmt numFmtId="204" formatCode="0.0&quot;年&quot;"/>
    <numFmt numFmtId="205" formatCode="&quot;金&quot;#,##0&quot; 円&quot;"/>
    <numFmt numFmtId="206" formatCode="&quot;金 &quot;#,##0&quot; 円&quot;"/>
    <numFmt numFmtId="207" formatCode="#,##0&quot; 円/㎡&quot;"/>
    <numFmt numFmtId="208" formatCode="#,##0&quot; ㎡&quot;"/>
    <numFmt numFmtId="209" formatCode="#,##0.000_ "/>
    <numFmt numFmtId="210" formatCode="#,##0.00_ ;[Red]\-#,##0.00\ "/>
    <numFmt numFmtId="211" formatCode="#,##0.0;[Red]\-#,##0.0"/>
    <numFmt numFmtId="212" formatCode="#,##0.000;[Red]\-#,##0.000"/>
    <numFmt numFmtId="213" formatCode="0.000_ "/>
    <numFmt numFmtId="214" formatCode="0.0"/>
    <numFmt numFmtId="215" formatCode="0.000"/>
  </numFmts>
  <fonts count="42">
    <font>
      <sz val="12"/>
      <name val="Osaka"/>
      <family val="3"/>
    </font>
    <font>
      <b/>
      <sz val="12"/>
      <name val="Osaka"/>
      <family val="3"/>
    </font>
    <font>
      <i/>
      <sz val="12"/>
      <name val="Osaka"/>
      <family val="3"/>
    </font>
    <font>
      <b/>
      <i/>
      <sz val="12"/>
      <name val="Osaka"/>
      <family val="3"/>
    </font>
    <font>
      <sz val="6"/>
      <name val="ＭＳ Ｐゴシック"/>
      <family val="3"/>
    </font>
    <font>
      <sz val="10"/>
      <name val="ＭＳ 明朝"/>
      <family val="1"/>
    </font>
    <font>
      <sz val="9"/>
      <name val="ＭＳ 明朝"/>
      <family val="1"/>
    </font>
    <font>
      <sz val="6"/>
      <name val="Osaka"/>
      <family val="3"/>
    </font>
    <font>
      <i/>
      <sz val="12"/>
      <name val="ＭＳ 明朝"/>
      <family val="1"/>
    </font>
    <font>
      <u val="single"/>
      <sz val="12"/>
      <color indexed="12"/>
      <name val="Osaka"/>
      <family val="3"/>
    </font>
    <font>
      <u val="single"/>
      <sz val="12"/>
      <color indexed="36"/>
      <name val="Osaka"/>
      <family val="3"/>
    </font>
    <font>
      <sz val="10"/>
      <name val="ＭＳ Ｐ明朝"/>
      <family val="1"/>
    </font>
    <font>
      <sz val="10"/>
      <color indexed="10"/>
      <name val="ＭＳ Ｐ明朝"/>
      <family val="1"/>
    </font>
    <font>
      <sz val="10"/>
      <color indexed="18"/>
      <name val="ＭＳ Ｐ明朝"/>
      <family val="1"/>
    </font>
    <font>
      <b/>
      <i/>
      <sz val="10"/>
      <color indexed="10"/>
      <name val="ＭＳ Ｐ明朝"/>
      <family val="1"/>
    </font>
    <font>
      <b/>
      <sz val="10"/>
      <color indexed="10"/>
      <name val="ＭＳ Ｐ明朝"/>
      <family val="1"/>
    </font>
    <font>
      <b/>
      <sz val="10"/>
      <color indexed="18"/>
      <name val="ＭＳ Ｐ明朝"/>
      <family val="1"/>
    </font>
    <font>
      <sz val="10"/>
      <color indexed="47"/>
      <name val="ＭＳ Ｐ明朝"/>
      <family val="1"/>
    </font>
    <font>
      <sz val="10"/>
      <color indexed="23"/>
      <name val="ＭＳ Ｐ明朝"/>
      <family val="1"/>
    </font>
    <font>
      <i/>
      <sz val="10"/>
      <color indexed="10"/>
      <name val="ＭＳ Ｐ明朝"/>
      <family val="1"/>
    </font>
    <font>
      <i/>
      <sz val="10"/>
      <color indexed="18"/>
      <name val="ＭＳ Ｐ明朝"/>
      <family val="1"/>
    </font>
    <font>
      <i/>
      <sz val="10"/>
      <color indexed="56"/>
      <name val="ＭＳ Ｐ明朝"/>
      <family val="1"/>
    </font>
    <font>
      <b/>
      <i/>
      <sz val="10"/>
      <color indexed="18"/>
      <name val="ＭＳ Ｐ明朝"/>
      <family val="1"/>
    </font>
    <font>
      <b/>
      <i/>
      <sz val="10"/>
      <color indexed="62"/>
      <name val="ＭＳ Ｐ明朝"/>
      <family val="1"/>
    </font>
    <font>
      <b/>
      <sz val="10"/>
      <color indexed="62"/>
      <name val="ＭＳ Ｐ明朝"/>
      <family val="1"/>
    </font>
    <font>
      <i/>
      <sz val="10"/>
      <name val="ＭＳ 明朝"/>
      <family val="1"/>
    </font>
    <font>
      <i/>
      <sz val="14"/>
      <name val="ＭＳ 明朝"/>
      <family val="1"/>
    </font>
    <font>
      <i/>
      <sz val="11"/>
      <name val="ＭＳ 明朝"/>
      <family val="1"/>
    </font>
    <font>
      <i/>
      <sz val="18"/>
      <name val="ＭＳ 明朝"/>
      <family val="1"/>
    </font>
    <font>
      <i/>
      <sz val="16"/>
      <name val="ＭＳ 明朝"/>
      <family val="1"/>
    </font>
    <font>
      <i/>
      <sz val="24"/>
      <name val="ＭＳ 明朝"/>
      <family val="1"/>
    </font>
    <font>
      <i/>
      <sz val="10"/>
      <color indexed="10"/>
      <name val="ＭＳ 明朝"/>
      <family val="1"/>
    </font>
    <font>
      <sz val="12"/>
      <name val="ＭＳ 明朝"/>
      <family val="1"/>
    </font>
    <font>
      <sz val="8"/>
      <name val="ＭＳ 明朝"/>
      <family val="1"/>
    </font>
    <font>
      <sz val="14"/>
      <name val="ＭＳ 明朝"/>
      <family val="1"/>
    </font>
    <font>
      <sz val="14"/>
      <color indexed="47"/>
      <name val="ＭＳ 明朝"/>
      <family val="1"/>
    </font>
    <font>
      <sz val="12"/>
      <color indexed="47"/>
      <name val="ＭＳ 明朝"/>
      <family val="1"/>
    </font>
    <font>
      <i/>
      <sz val="9"/>
      <name val="ＭＳ 明朝"/>
      <family val="1"/>
    </font>
    <font>
      <sz val="9"/>
      <color indexed="18"/>
      <name val="ＭＳ Ｐ明朝"/>
      <family val="1"/>
    </font>
    <font>
      <b/>
      <sz val="12"/>
      <color indexed="18"/>
      <name val="ＭＳ 明朝"/>
      <family val="1"/>
    </font>
    <font>
      <sz val="12"/>
      <color indexed="18"/>
      <name val="ＭＳ 明朝"/>
      <family val="1"/>
    </font>
    <font>
      <sz val="12"/>
      <color indexed="10"/>
      <name val="ＭＳ 明朝"/>
      <family val="1"/>
    </font>
  </fonts>
  <fills count="8">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gray125">
        <bgColor indexed="47"/>
      </patternFill>
    </fill>
  </fills>
  <borders count="226">
    <border>
      <left/>
      <right/>
      <top/>
      <bottom/>
      <diagonal/>
    </border>
    <border>
      <left style="thin">
        <color indexed="56"/>
      </left>
      <right style="thin">
        <color indexed="56"/>
      </right>
      <top style="medium">
        <color indexed="56"/>
      </top>
      <bottom style="thin">
        <color indexed="56"/>
      </bottom>
    </border>
    <border>
      <left style="thin">
        <color indexed="56"/>
      </left>
      <right style="medium">
        <color indexed="56"/>
      </right>
      <top style="medium">
        <color indexed="56"/>
      </top>
      <bottom style="thin">
        <color indexed="56"/>
      </bottom>
    </border>
    <border>
      <left style="medium">
        <color indexed="56"/>
      </left>
      <right style="thin">
        <color indexed="56"/>
      </right>
      <top style="medium">
        <color indexed="56"/>
      </top>
      <bottom style="thin">
        <color indexed="56"/>
      </bottom>
    </border>
    <border>
      <left style="medium">
        <color indexed="56"/>
      </left>
      <right style="thin">
        <color indexed="56"/>
      </right>
      <top>
        <color indexed="63"/>
      </top>
      <bottom style="thin">
        <color indexed="56"/>
      </bottom>
    </border>
    <border>
      <left style="thin">
        <color indexed="56"/>
      </left>
      <right style="thin">
        <color indexed="56"/>
      </right>
      <top style="thin">
        <color indexed="56"/>
      </top>
      <bottom style="thin">
        <color indexed="56"/>
      </bottom>
    </border>
    <border>
      <left style="thin">
        <color indexed="56"/>
      </left>
      <right style="medium">
        <color indexed="56"/>
      </right>
      <top style="thin">
        <color indexed="56"/>
      </top>
      <bottom style="thin">
        <color indexed="56"/>
      </bottom>
    </border>
    <border>
      <left style="medium">
        <color indexed="56"/>
      </left>
      <right style="thin">
        <color indexed="56"/>
      </right>
      <top style="thin">
        <color indexed="56"/>
      </top>
      <bottom style="thin">
        <color indexed="56"/>
      </bottom>
    </border>
    <border>
      <left style="thin">
        <color indexed="56"/>
      </left>
      <right>
        <color indexed="63"/>
      </right>
      <top style="thin">
        <color indexed="56"/>
      </top>
      <bottom>
        <color indexed="63"/>
      </bottom>
    </border>
    <border>
      <left style="thin"/>
      <right style="thin"/>
      <top style="thin"/>
      <bottom style="thin"/>
    </border>
    <border>
      <left style="thin"/>
      <right style="medium">
        <color indexed="56"/>
      </right>
      <top style="thin"/>
      <bottom style="thin"/>
    </border>
    <border>
      <left style="medium">
        <color indexed="56"/>
      </left>
      <right>
        <color indexed="63"/>
      </right>
      <top>
        <color indexed="63"/>
      </top>
      <bottom style="thin">
        <color indexed="56"/>
      </bottom>
    </border>
    <border>
      <left style="medium">
        <color indexed="56"/>
      </left>
      <right>
        <color indexed="63"/>
      </right>
      <top style="thin">
        <color indexed="56"/>
      </top>
      <bottom>
        <color indexed="63"/>
      </bottom>
    </border>
    <border>
      <left style="medium">
        <color indexed="56"/>
      </left>
      <right>
        <color indexed="63"/>
      </right>
      <top style="medium">
        <color indexed="56"/>
      </top>
      <bottom style="thin">
        <color indexed="56"/>
      </bottom>
    </border>
    <border>
      <left>
        <color indexed="63"/>
      </left>
      <right>
        <color indexed="63"/>
      </right>
      <top style="medium">
        <color indexed="56"/>
      </top>
      <bottom style="thin">
        <color indexed="56"/>
      </bottom>
    </border>
    <border>
      <left>
        <color indexed="63"/>
      </left>
      <right style="medium">
        <color indexed="56"/>
      </right>
      <top style="medium">
        <color indexed="56"/>
      </top>
      <bottom style="thin">
        <color indexed="56"/>
      </bottom>
    </border>
    <border>
      <left style="medium">
        <color indexed="56"/>
      </left>
      <right style="thin">
        <color indexed="56"/>
      </right>
      <top style="thin">
        <color indexed="56"/>
      </top>
      <bottom style="medium">
        <color indexed="56"/>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medium">
        <color indexed="18"/>
      </left>
      <right style="thin">
        <color indexed="18"/>
      </right>
      <top style="medium">
        <color indexed="18"/>
      </top>
      <bottom style="medium">
        <color indexed="18"/>
      </bottom>
    </border>
    <border>
      <left style="thin">
        <color indexed="18"/>
      </left>
      <right style="thin">
        <color indexed="18"/>
      </right>
      <top style="medium">
        <color indexed="18"/>
      </top>
      <bottom style="medium">
        <color indexed="18"/>
      </bottom>
    </border>
    <border>
      <left style="thin">
        <color indexed="18"/>
      </left>
      <right style="medium">
        <color indexed="18"/>
      </right>
      <top style="medium">
        <color indexed="18"/>
      </top>
      <bottom style="medium">
        <color indexed="18"/>
      </bottom>
    </border>
    <border>
      <left style="medium">
        <color indexed="18"/>
      </left>
      <right style="thin">
        <color indexed="18"/>
      </right>
      <top style="medium">
        <color indexed="18"/>
      </top>
      <bottom style="thin">
        <color indexed="18"/>
      </bottom>
    </border>
    <border>
      <left style="thin">
        <color indexed="18"/>
      </left>
      <right style="thin">
        <color indexed="18"/>
      </right>
      <top style="medium">
        <color indexed="18"/>
      </top>
      <bottom style="thin">
        <color indexed="18"/>
      </bottom>
    </border>
    <border>
      <left style="medium">
        <color indexed="18"/>
      </left>
      <right style="thin">
        <color indexed="18"/>
      </right>
      <top style="thin">
        <color indexed="18"/>
      </top>
      <bottom style="thin">
        <color indexed="18"/>
      </bottom>
    </border>
    <border>
      <left style="thin">
        <color indexed="18"/>
      </left>
      <right style="thin">
        <color indexed="18"/>
      </right>
      <top style="thin">
        <color indexed="18"/>
      </top>
      <bottom style="thin">
        <color indexed="18"/>
      </bottom>
    </border>
    <border>
      <left style="medium">
        <color indexed="18"/>
      </left>
      <right style="thin">
        <color indexed="18"/>
      </right>
      <top style="thin">
        <color indexed="18"/>
      </top>
      <bottom style="medium">
        <color indexed="18"/>
      </bottom>
    </border>
    <border>
      <left style="thin">
        <color indexed="18"/>
      </left>
      <right style="thin">
        <color indexed="18"/>
      </right>
      <top style="thin">
        <color indexed="18"/>
      </top>
      <bottom style="medium">
        <color indexed="18"/>
      </bottom>
    </border>
    <border>
      <left style="medium">
        <color indexed="18"/>
      </left>
      <right style="thin">
        <color indexed="18"/>
      </right>
      <top style="thin">
        <color indexed="18"/>
      </top>
      <bottom>
        <color indexed="63"/>
      </bottom>
    </border>
    <border>
      <left style="thin">
        <color indexed="18"/>
      </left>
      <right style="thin">
        <color indexed="18"/>
      </right>
      <top style="thin">
        <color indexed="18"/>
      </top>
      <bottom>
        <color indexed="63"/>
      </bottom>
    </border>
    <border>
      <left style="thin">
        <color indexed="18"/>
      </left>
      <right style="thin">
        <color indexed="18"/>
      </right>
      <top>
        <color indexed="63"/>
      </top>
      <bottom style="medium">
        <color indexed="18"/>
      </bottom>
    </border>
    <border>
      <left style="thin">
        <color indexed="18"/>
      </left>
      <right style="thin">
        <color indexed="18"/>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color indexed="63"/>
      </bottom>
    </border>
    <border>
      <left style="thin"/>
      <right style="medium"/>
      <top style="thin"/>
      <bottom>
        <color indexed="63"/>
      </bottom>
    </border>
    <border>
      <left style="hair">
        <color indexed="23"/>
      </left>
      <right style="hair">
        <color indexed="23"/>
      </right>
      <top style="hair">
        <color indexed="23"/>
      </top>
      <bottom style="thin"/>
    </border>
    <border>
      <left style="double"/>
      <right style="thin"/>
      <top style="double"/>
      <bottom style="thin"/>
    </border>
    <border>
      <left style="thin"/>
      <right style="thin"/>
      <top style="double"/>
      <bottom style="thin"/>
    </border>
    <border>
      <left style="double"/>
      <right style="thin"/>
      <top style="thin"/>
      <bottom style="thin"/>
    </border>
    <border diagonalDown="1">
      <left style="thin"/>
      <right style="thin"/>
      <top style="thin"/>
      <bottom style="thin"/>
      <diagonal style="thin"/>
    </border>
    <border>
      <left style="double"/>
      <right style="thin"/>
      <top style="thin"/>
      <bottom style="double"/>
    </border>
    <border>
      <left style="thin"/>
      <right style="thin"/>
      <top style="thin"/>
      <bottom style="double"/>
    </border>
    <border>
      <left style="thin"/>
      <right>
        <color indexed="63"/>
      </right>
      <top style="thin"/>
      <bottom style="double"/>
    </border>
    <border>
      <left style="double"/>
      <right style="double"/>
      <top style="double"/>
      <bottom style="double"/>
    </border>
    <border>
      <left style="double"/>
      <right>
        <color indexed="63"/>
      </right>
      <top style="double"/>
      <bottom style="thin"/>
    </border>
    <border>
      <left style="thin"/>
      <right style="double"/>
      <top style="double"/>
      <bottom style="thin"/>
    </border>
    <border>
      <left>
        <color indexed="63"/>
      </left>
      <right style="thin"/>
      <top style="double"/>
      <bottom style="thin"/>
    </border>
    <border>
      <left style="double"/>
      <right>
        <color indexed="63"/>
      </right>
      <top style="thin"/>
      <bottom style="thin"/>
    </border>
    <border diagonalDown="1">
      <left style="thin"/>
      <right style="double"/>
      <top style="thin"/>
      <bottom style="thin"/>
      <diagonal style="thin"/>
    </border>
    <border>
      <left style="thin"/>
      <right style="double"/>
      <top style="thin"/>
      <bottom style="thin"/>
    </border>
    <border>
      <left style="double"/>
      <right>
        <color indexed="63"/>
      </right>
      <top style="thin"/>
      <bottom style="double"/>
    </border>
    <border>
      <left style="thin"/>
      <right style="double"/>
      <top style="thin"/>
      <bottom style="double"/>
    </border>
    <border>
      <left>
        <color indexed="63"/>
      </left>
      <right style="thin"/>
      <top style="thin"/>
      <bottom style="double"/>
    </border>
    <border>
      <left style="thin"/>
      <right style="double"/>
      <top>
        <color indexed="63"/>
      </top>
      <bottom style="thin"/>
    </border>
    <border>
      <left style="hair"/>
      <right>
        <color indexed="63"/>
      </right>
      <top style="thin"/>
      <bottom style="thin"/>
    </border>
    <border>
      <left style="hair"/>
      <right>
        <color indexed="63"/>
      </right>
      <top style="thin"/>
      <bottom style="double"/>
    </border>
    <border>
      <left style="thin"/>
      <right>
        <color indexed="63"/>
      </right>
      <top style="double"/>
      <bottom style="thin"/>
    </border>
    <border>
      <left style="double"/>
      <right style="thin"/>
      <top>
        <color indexed="63"/>
      </top>
      <bottom style="double"/>
    </border>
    <border>
      <left style="thin"/>
      <right>
        <color indexed="63"/>
      </right>
      <top>
        <color indexed="63"/>
      </top>
      <bottom style="double"/>
    </border>
    <border>
      <left style="double"/>
      <right style="thin"/>
      <top>
        <color indexed="63"/>
      </top>
      <bottom style="thin"/>
    </border>
    <border>
      <left style="double"/>
      <right style="thin"/>
      <top>
        <color indexed="63"/>
      </top>
      <bottom>
        <color indexed="63"/>
      </bottom>
    </border>
    <border>
      <left style="double"/>
      <right>
        <color indexed="63"/>
      </right>
      <top style="thin"/>
      <bottom>
        <color indexed="63"/>
      </bottom>
    </border>
    <border>
      <left style="thin"/>
      <right style="hair"/>
      <top style="hair"/>
      <bottom style="hair"/>
    </border>
    <border>
      <left>
        <color indexed="63"/>
      </left>
      <right style="thin"/>
      <top style="hair"/>
      <bottom style="hair"/>
    </border>
    <border>
      <left style="thin"/>
      <right style="hair"/>
      <top style="hair"/>
      <bottom style="thin"/>
    </border>
    <border>
      <left>
        <color indexed="63"/>
      </left>
      <right style="thin"/>
      <top style="hair"/>
      <bottom style="thin"/>
    </border>
    <border>
      <left style="hair"/>
      <right style="hair"/>
      <top style="hair"/>
      <bottom style="hair"/>
    </border>
    <border>
      <left style="hair"/>
      <right style="thin"/>
      <top style="hair"/>
      <bottom style="hair"/>
    </border>
    <border>
      <left style="thin"/>
      <right>
        <color indexed="63"/>
      </right>
      <top style="hair"/>
      <bottom style="thin"/>
    </border>
    <border>
      <left style="hair"/>
      <right style="hair"/>
      <top style="hair"/>
      <bottom style="thin"/>
    </border>
    <border>
      <left style="hair"/>
      <right style="thin"/>
      <top style="hair"/>
      <bottom style="thin"/>
    </border>
    <border>
      <left>
        <color indexed="63"/>
      </left>
      <right>
        <color indexed="63"/>
      </right>
      <top style="thin"/>
      <bottom style="hair"/>
    </border>
    <border>
      <left>
        <color indexed="63"/>
      </left>
      <right style="thin"/>
      <top style="thin"/>
      <bottom style="hair"/>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style="hair"/>
      <right style="hair"/>
      <top>
        <color indexed="63"/>
      </top>
      <bottom style="hair"/>
    </border>
    <border>
      <left style="thin"/>
      <right>
        <color indexed="63"/>
      </right>
      <top style="hair"/>
      <bottom style="hair"/>
    </border>
    <border>
      <left style="hair"/>
      <right style="hair"/>
      <top style="thin"/>
      <bottom style="thin"/>
    </border>
    <border>
      <left style="thin"/>
      <right style="hair"/>
      <top style="thin"/>
      <bottom style="hair"/>
    </border>
    <border>
      <left style="thin"/>
      <right style="hair"/>
      <top>
        <color indexed="63"/>
      </top>
      <bottom style="hair"/>
    </border>
    <border>
      <left style="hair"/>
      <right style="hair"/>
      <top style="thin"/>
      <bottom>
        <color indexed="63"/>
      </bottom>
    </border>
    <border>
      <left style="hair"/>
      <right style="hair"/>
      <top>
        <color indexed="63"/>
      </top>
      <bottom>
        <color indexed="63"/>
      </bottom>
    </border>
    <border>
      <left style="hair"/>
      <right style="hair"/>
      <top style="hair"/>
      <bottom>
        <color indexed="63"/>
      </bottom>
    </border>
    <border>
      <left style="hair"/>
      <right style="thin"/>
      <top>
        <color indexed="63"/>
      </top>
      <bottom style="hair"/>
    </border>
    <border>
      <left style="thin">
        <color indexed="8"/>
      </left>
      <right style="hair">
        <color indexed="8"/>
      </right>
      <top style="thin">
        <color indexed="8"/>
      </top>
      <bottom>
        <color indexed="63"/>
      </bottom>
    </border>
    <border>
      <left style="hair">
        <color indexed="8"/>
      </left>
      <right style="hair">
        <color indexed="8"/>
      </right>
      <top style="thin">
        <color indexed="8"/>
      </top>
      <bottom>
        <color indexed="63"/>
      </bottom>
    </border>
    <border>
      <left style="hair">
        <color indexed="8"/>
      </left>
      <right style="thin">
        <color indexed="8"/>
      </right>
      <top style="thin">
        <color indexed="8"/>
      </top>
      <bottom>
        <color indexed="63"/>
      </bottom>
    </border>
    <border>
      <left style="thin">
        <color indexed="8"/>
      </left>
      <right style="hair">
        <color indexed="8"/>
      </right>
      <top>
        <color indexed="63"/>
      </top>
      <bottom>
        <color indexed="63"/>
      </bottom>
    </border>
    <border>
      <left style="hair">
        <color indexed="8"/>
      </left>
      <right style="hair">
        <color indexed="8"/>
      </right>
      <top>
        <color indexed="63"/>
      </top>
      <bottom>
        <color indexed="63"/>
      </bottom>
    </border>
    <border>
      <left style="hair">
        <color indexed="8"/>
      </left>
      <right style="thin">
        <color indexed="8"/>
      </right>
      <top>
        <color indexed="63"/>
      </top>
      <bottom>
        <color indexed="63"/>
      </bottom>
    </border>
    <border>
      <left style="thin">
        <color indexed="8"/>
      </left>
      <right style="hair">
        <color indexed="8"/>
      </right>
      <top>
        <color indexed="63"/>
      </top>
      <bottom style="hair">
        <color indexed="8"/>
      </bottom>
    </border>
    <border>
      <left style="hair">
        <color indexed="8"/>
      </left>
      <right style="hair">
        <color indexed="8"/>
      </right>
      <top>
        <color indexed="63"/>
      </top>
      <bottom style="hair">
        <color indexed="8"/>
      </bottom>
    </border>
    <border>
      <left style="hair">
        <color indexed="8"/>
      </left>
      <right style="thin">
        <color indexed="8"/>
      </right>
      <top>
        <color indexed="63"/>
      </top>
      <bottom style="hair">
        <color indexed="8"/>
      </bottom>
    </border>
    <border>
      <left style="thin">
        <color indexed="8"/>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left style="hair">
        <color indexed="8"/>
      </left>
      <right style="hair">
        <color indexed="8"/>
      </right>
      <top style="thin">
        <color indexed="8"/>
      </top>
      <bottom style="hair">
        <color indexed="8"/>
      </bottom>
    </border>
    <border>
      <left style="hair">
        <color indexed="8"/>
      </left>
      <right style="hair">
        <color indexed="8"/>
      </right>
      <top style="hair">
        <color indexed="8"/>
      </top>
      <bottom style="hair">
        <color indexed="8"/>
      </bottom>
    </border>
    <border>
      <left>
        <color indexed="63"/>
      </left>
      <right>
        <color indexed="63"/>
      </right>
      <top>
        <color indexed="63"/>
      </top>
      <bottom style="thin">
        <color indexed="8"/>
      </bottom>
    </border>
    <border>
      <left>
        <color indexed="63"/>
      </left>
      <right style="hair"/>
      <top style="thin"/>
      <bottom>
        <color indexed="63"/>
      </bottom>
    </border>
    <border>
      <left style="hair"/>
      <right>
        <color indexed="63"/>
      </right>
      <top style="thin"/>
      <bottom>
        <color indexed="63"/>
      </bottom>
    </border>
    <border>
      <left style="thin"/>
      <right style="thin"/>
      <top style="thin"/>
      <bottom style="hair"/>
    </border>
    <border>
      <left style="thin"/>
      <right style="thin"/>
      <top style="hair"/>
      <bottom style="hair"/>
    </border>
    <border>
      <left style="thin"/>
      <right style="thin"/>
      <top style="hair"/>
      <bottom>
        <color indexed="63"/>
      </bottom>
    </border>
    <border>
      <left style="hair"/>
      <right>
        <color indexed="63"/>
      </right>
      <top style="hair"/>
      <bottom style="hair"/>
    </border>
    <border>
      <left>
        <color indexed="63"/>
      </left>
      <right>
        <color indexed="63"/>
      </right>
      <top style="hair"/>
      <bottom style="hair"/>
    </border>
    <border>
      <left style="hair"/>
      <right>
        <color indexed="63"/>
      </right>
      <top style="thin"/>
      <bottom style="hair"/>
    </border>
    <border>
      <left style="hair"/>
      <right>
        <color indexed="63"/>
      </right>
      <top style="hair"/>
      <bottom style="thin"/>
    </border>
    <border>
      <left>
        <color indexed="63"/>
      </left>
      <right>
        <color indexed="63"/>
      </right>
      <top style="hair"/>
      <bottom style="thin"/>
    </border>
    <border>
      <left>
        <color indexed="63"/>
      </left>
      <right style="hair"/>
      <top style="thin"/>
      <bottom style="thin"/>
    </border>
    <border>
      <left style="hair"/>
      <right style="thin"/>
      <top style="thin"/>
      <bottom style="thin"/>
    </border>
    <border>
      <left style="hair"/>
      <right style="hair"/>
      <top style="thin"/>
      <bottom style="hair"/>
    </border>
    <border>
      <left>
        <color indexed="63"/>
      </left>
      <right style="hair"/>
      <top style="thin"/>
      <bottom style="hair"/>
    </border>
    <border>
      <left>
        <color indexed="63"/>
      </left>
      <right style="hair"/>
      <top style="hair"/>
      <bottom style="hair"/>
    </border>
    <border>
      <left>
        <color indexed="63"/>
      </left>
      <right style="hair"/>
      <top style="hair"/>
      <bottom style="thin"/>
    </border>
    <border>
      <left style="hair"/>
      <right style="thin"/>
      <top style="thin"/>
      <bottom style="hair"/>
    </border>
    <border>
      <left>
        <color indexed="63"/>
      </left>
      <right style="medium">
        <color indexed="56"/>
      </right>
      <top style="thin">
        <color indexed="56"/>
      </top>
      <bottom style="thin">
        <color indexed="56"/>
      </bottom>
    </border>
    <border>
      <left style="thin">
        <color indexed="56"/>
      </left>
      <right>
        <color indexed="63"/>
      </right>
      <top style="thin">
        <color indexed="56"/>
      </top>
      <bottom style="thin">
        <color indexed="56"/>
      </bottom>
    </border>
    <border>
      <left>
        <color indexed="63"/>
      </left>
      <right>
        <color indexed="63"/>
      </right>
      <top style="thin">
        <color indexed="56"/>
      </top>
      <bottom style="thin">
        <color indexed="56"/>
      </bottom>
    </border>
    <border>
      <left style="medium">
        <color indexed="56"/>
      </left>
      <right>
        <color indexed="63"/>
      </right>
      <top>
        <color indexed="63"/>
      </top>
      <bottom>
        <color indexed="63"/>
      </bottom>
    </border>
    <border>
      <left style="thin">
        <color indexed="56"/>
      </left>
      <right>
        <color indexed="63"/>
      </right>
      <top>
        <color indexed="63"/>
      </top>
      <bottom style="thin">
        <color indexed="56"/>
      </bottom>
    </border>
    <border>
      <left>
        <color indexed="63"/>
      </left>
      <right>
        <color indexed="63"/>
      </right>
      <top>
        <color indexed="63"/>
      </top>
      <bottom style="thin">
        <color indexed="56"/>
      </bottom>
    </border>
    <border>
      <left>
        <color indexed="63"/>
      </left>
      <right style="medium">
        <color indexed="56"/>
      </right>
      <top>
        <color indexed="63"/>
      </top>
      <bottom style="thin">
        <color indexed="56"/>
      </bottom>
    </border>
    <border>
      <left>
        <color indexed="63"/>
      </left>
      <right style="medium">
        <color indexed="56"/>
      </right>
      <top style="thin">
        <color indexed="56"/>
      </top>
      <bottom>
        <color indexed="63"/>
      </bottom>
    </border>
    <border>
      <left style="medium">
        <color indexed="56"/>
      </left>
      <right style="thin">
        <color indexed="56"/>
      </right>
      <top style="medium">
        <color indexed="56"/>
      </top>
      <bottom>
        <color indexed="63"/>
      </bottom>
    </border>
    <border>
      <left style="thin">
        <color indexed="56"/>
      </left>
      <right>
        <color indexed="63"/>
      </right>
      <top style="thin">
        <color indexed="56"/>
      </top>
      <bottom style="medium">
        <color indexed="56"/>
      </bottom>
    </border>
    <border>
      <left>
        <color indexed="63"/>
      </left>
      <right>
        <color indexed="63"/>
      </right>
      <top style="thin">
        <color indexed="56"/>
      </top>
      <bottom style="medium">
        <color indexed="56"/>
      </bottom>
    </border>
    <border>
      <left>
        <color indexed="63"/>
      </left>
      <right style="medium">
        <color indexed="56"/>
      </right>
      <top style="thin">
        <color indexed="56"/>
      </top>
      <bottom style="medium">
        <color indexed="56"/>
      </bottom>
    </border>
    <border>
      <left style="medium">
        <color indexed="56"/>
      </left>
      <right>
        <color indexed="63"/>
      </right>
      <top style="thin">
        <color indexed="56"/>
      </top>
      <bottom style="medium">
        <color indexed="56"/>
      </bottom>
    </border>
    <border>
      <left>
        <color indexed="63"/>
      </left>
      <right>
        <color indexed="63"/>
      </right>
      <top style="thin">
        <color indexed="56"/>
      </top>
      <bottom>
        <color indexed="63"/>
      </bottom>
    </border>
    <border>
      <left>
        <color indexed="63"/>
      </left>
      <right style="medium">
        <color indexed="56"/>
      </right>
      <top>
        <color indexed="63"/>
      </top>
      <bottom>
        <color indexed="63"/>
      </bottom>
    </border>
    <border>
      <left style="medium">
        <color indexed="56"/>
      </left>
      <right>
        <color indexed="63"/>
      </right>
      <top style="thin">
        <color indexed="56"/>
      </top>
      <bottom style="thin">
        <color indexed="56"/>
      </bottom>
    </border>
    <border>
      <left>
        <color indexed="63"/>
      </left>
      <right>
        <color indexed="63"/>
      </right>
      <top>
        <color indexed="63"/>
      </top>
      <bottom style="medium">
        <color indexed="18"/>
      </bottom>
    </border>
    <border>
      <left>
        <color indexed="63"/>
      </left>
      <right>
        <color indexed="63"/>
      </right>
      <top>
        <color indexed="63"/>
      </top>
      <bottom style="medium">
        <color indexed="56"/>
      </bottom>
    </border>
    <border>
      <left>
        <color indexed="63"/>
      </left>
      <right style="medium">
        <color indexed="56"/>
      </right>
      <top>
        <color indexed="63"/>
      </top>
      <bottom style="medium">
        <color indexed="56"/>
      </bottom>
    </border>
    <border>
      <left style="thin"/>
      <right style="thin"/>
      <top>
        <color indexed="63"/>
      </top>
      <bottom>
        <color indexed="63"/>
      </bottom>
    </border>
    <border>
      <left style="thin"/>
      <right>
        <color indexed="63"/>
      </right>
      <top style="thin">
        <color indexed="56"/>
      </top>
      <bottom style="thin"/>
    </border>
    <border>
      <left>
        <color indexed="63"/>
      </left>
      <right style="thin"/>
      <top style="thin">
        <color indexed="56"/>
      </top>
      <bottom style="thin"/>
    </border>
    <border>
      <left style="thin"/>
      <right>
        <color indexed="63"/>
      </right>
      <top style="thin">
        <color indexed="56"/>
      </top>
      <bottom style="thin">
        <color indexed="56"/>
      </bottom>
    </border>
    <border>
      <left>
        <color indexed="63"/>
      </left>
      <right style="thin"/>
      <top style="thin">
        <color indexed="56"/>
      </top>
      <bottom style="thin">
        <color indexed="56"/>
      </bottom>
    </border>
    <border>
      <left style="thin"/>
      <right>
        <color indexed="63"/>
      </right>
      <top style="thin"/>
      <bottom style="thin">
        <color indexed="56"/>
      </bottom>
    </border>
    <border>
      <left>
        <color indexed="63"/>
      </left>
      <right style="thin"/>
      <top style="thin"/>
      <bottom style="thin">
        <color indexed="56"/>
      </bottom>
    </border>
    <border>
      <left>
        <color indexed="63"/>
      </left>
      <right style="double"/>
      <top style="thin"/>
      <bottom>
        <color indexed="63"/>
      </bottom>
    </border>
    <border>
      <left style="double"/>
      <right>
        <color indexed="63"/>
      </right>
      <top>
        <color indexed="63"/>
      </top>
      <bottom style="thin"/>
    </border>
    <border>
      <left>
        <color indexed="63"/>
      </left>
      <right style="double"/>
      <top>
        <color indexed="63"/>
      </top>
      <bottom style="thin"/>
    </border>
    <border>
      <left style="double"/>
      <right>
        <color indexed="63"/>
      </right>
      <top>
        <color indexed="63"/>
      </top>
      <bottom>
        <color indexed="63"/>
      </bottom>
    </border>
    <border>
      <left>
        <color indexed="63"/>
      </left>
      <right style="double"/>
      <top>
        <color indexed="63"/>
      </top>
      <bottom>
        <color indexed="63"/>
      </bottom>
    </border>
    <border>
      <left>
        <color indexed="63"/>
      </left>
      <right style="double"/>
      <top style="thin"/>
      <bottom style="thin"/>
    </border>
    <border>
      <left>
        <color indexed="63"/>
      </left>
      <right style="double"/>
      <top style="double"/>
      <bottom style="thin"/>
    </border>
    <border>
      <left style="thin"/>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color indexed="63"/>
      </top>
      <bottom style="double"/>
    </border>
    <border>
      <left>
        <color indexed="63"/>
      </left>
      <right style="double"/>
      <top>
        <color indexed="63"/>
      </top>
      <bottom style="double"/>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style="hair"/>
      <top>
        <color indexed="63"/>
      </top>
      <bottom style="thin"/>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hair"/>
      <top>
        <color indexed="63"/>
      </top>
      <bottom style="hair"/>
    </border>
    <border>
      <left style="thin"/>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hair"/>
      <right>
        <color indexed="63"/>
      </right>
      <top>
        <color indexed="63"/>
      </top>
      <bottom style="thin"/>
    </border>
    <border>
      <left style="thin"/>
      <right style="hair"/>
      <top style="hair"/>
      <bottom>
        <color indexed="63"/>
      </bottom>
    </border>
    <border>
      <left style="thin"/>
      <right style="hair"/>
      <top>
        <color indexed="63"/>
      </top>
      <bottom>
        <color indexed="63"/>
      </bottom>
    </border>
    <border>
      <left style="thin"/>
      <right style="hair"/>
      <top>
        <color indexed="63"/>
      </top>
      <bottom style="thin"/>
    </border>
    <border>
      <left style="hair">
        <color indexed="8"/>
      </left>
      <right>
        <color indexed="63"/>
      </right>
      <top>
        <color indexed="63"/>
      </top>
      <bottom>
        <color indexed="63"/>
      </bottom>
    </border>
    <border>
      <left>
        <color indexed="63"/>
      </left>
      <right style="thin">
        <color indexed="8"/>
      </right>
      <top>
        <color indexed="63"/>
      </top>
      <bottom>
        <color indexed="63"/>
      </bottom>
    </border>
    <border>
      <left style="thin"/>
      <right style="hair"/>
      <top style="thin"/>
      <bottom>
        <color indexed="63"/>
      </bottom>
    </border>
    <border>
      <left style="thin"/>
      <right>
        <color indexed="63"/>
      </right>
      <top style="thin"/>
      <bottom style="hair"/>
    </border>
    <border>
      <left style="double"/>
      <right style="hair"/>
      <top style="double"/>
      <bottom>
        <color indexed="63"/>
      </bottom>
    </border>
    <border>
      <left style="hair"/>
      <right style="hair"/>
      <top style="double"/>
      <bottom>
        <color indexed="63"/>
      </bottom>
    </border>
    <border>
      <left style="hair"/>
      <right>
        <color indexed="63"/>
      </right>
      <top style="double"/>
      <bottom style="hair"/>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hair"/>
      <top style="hair"/>
      <bottom style="hair"/>
    </border>
    <border>
      <left style="hair"/>
      <right style="double"/>
      <top style="hair"/>
      <bottom style="hair"/>
    </border>
    <border>
      <left style="double"/>
      <right style="hair"/>
      <top style="hair"/>
      <bottom style="double"/>
    </border>
    <border>
      <left style="hair"/>
      <right style="hair"/>
      <top style="hair"/>
      <bottom style="double"/>
    </border>
    <border>
      <left style="hair"/>
      <right style="double"/>
      <top style="hair"/>
      <bottom style="double"/>
    </border>
    <border>
      <left style="double"/>
      <right style="hair"/>
      <top>
        <color indexed="63"/>
      </top>
      <bottom style="hair"/>
    </border>
    <border>
      <left style="hair"/>
      <right>
        <color indexed="63"/>
      </right>
      <top style="hair"/>
      <bottom style="double"/>
    </border>
    <border>
      <left>
        <color indexed="63"/>
      </left>
      <right>
        <color indexed="63"/>
      </right>
      <top>
        <color indexed="63"/>
      </top>
      <bottom style="double"/>
    </border>
    <border>
      <left style="hair"/>
      <right style="double"/>
      <top style="thin"/>
      <bottom style="hair"/>
    </border>
    <border>
      <left style="hair"/>
      <right style="double"/>
      <top style="hair"/>
      <bottom>
        <color indexed="63"/>
      </bottom>
    </border>
    <border>
      <left>
        <color indexed="63"/>
      </left>
      <right style="thin"/>
      <top style="double"/>
      <bottom style="double"/>
    </border>
    <border>
      <left style="thin"/>
      <right style="double"/>
      <top style="double"/>
      <bottom style="double"/>
    </border>
    <border>
      <left style="hair"/>
      <right style="double"/>
      <top>
        <color indexed="63"/>
      </top>
      <bottom style="hair"/>
    </border>
    <border>
      <left style="double"/>
      <right style="thin"/>
      <top style="double"/>
      <bottom style="double"/>
    </border>
    <border>
      <left style="hair"/>
      <right style="double"/>
      <top style="hair"/>
      <bottom style="thin"/>
    </border>
    <border>
      <left style="double"/>
      <right style="double"/>
      <top style="double"/>
      <bottom style="hair"/>
    </border>
    <border>
      <left style="double"/>
      <right style="double"/>
      <top>
        <color indexed="63"/>
      </top>
      <bottom style="hair"/>
    </border>
    <border>
      <left style="double"/>
      <right style="double"/>
      <top style="hair"/>
      <bottom style="hair"/>
    </border>
    <border>
      <left style="double"/>
      <right style="double"/>
      <top style="hair"/>
      <bottom style="double"/>
    </border>
    <border>
      <left style="double"/>
      <right>
        <color indexed="63"/>
      </right>
      <top style="thin"/>
      <bottom style="hair"/>
    </border>
    <border>
      <left>
        <color indexed="63"/>
      </left>
      <right style="double"/>
      <top style="thin"/>
      <bottom style="hair"/>
    </border>
    <border>
      <left style="double"/>
      <right style="hair"/>
      <top style="thin"/>
      <bottom style="hair"/>
    </border>
    <border>
      <left style="hair"/>
      <right style="double"/>
      <top>
        <color indexed="63"/>
      </top>
      <bottom>
        <color indexed="63"/>
      </bottom>
    </border>
    <border>
      <left style="double"/>
      <right>
        <color indexed="63"/>
      </right>
      <top>
        <color indexed="63"/>
      </top>
      <bottom style="hair"/>
    </border>
    <border>
      <left style="double"/>
      <right>
        <color indexed="63"/>
      </right>
      <top style="hair"/>
      <bottom style="hair"/>
    </border>
    <border>
      <left>
        <color indexed="63"/>
      </left>
      <right style="double"/>
      <top style="hair"/>
      <bottom style="hair"/>
    </border>
    <border>
      <left style="double"/>
      <right>
        <color indexed="63"/>
      </right>
      <top style="hair"/>
      <bottom style="thin"/>
    </border>
    <border>
      <left style="thin"/>
      <right style="double"/>
      <top style="hair"/>
      <bottom style="thin"/>
    </border>
    <border>
      <left style="double"/>
      <right style="hair"/>
      <top style="hair"/>
      <bottom style="thin"/>
    </border>
    <border diagonalDown="1">
      <left style="hair"/>
      <right style="hair"/>
      <top style="hair"/>
      <bottom style="hair"/>
      <diagonal style="hair"/>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0" borderId="0" applyNumberFormat="0" applyFill="0" applyBorder="0" applyAlignment="0" applyProtection="0"/>
  </cellStyleXfs>
  <cellXfs count="1570">
    <xf numFmtId="0" fontId="0" fillId="0" borderId="0" xfId="0" applyAlignment="1">
      <alignment/>
    </xf>
    <xf numFmtId="0" fontId="11" fillId="2" borderId="0" xfId="0" applyFont="1" applyFill="1" applyAlignment="1">
      <alignment vertical="center"/>
    </xf>
    <xf numFmtId="0" fontId="12" fillId="2" borderId="0" xfId="0" applyFont="1" applyFill="1" applyAlignment="1">
      <alignment/>
    </xf>
    <xf numFmtId="0" fontId="13" fillId="2" borderId="0" xfId="0" applyFont="1" applyFill="1" applyAlignment="1">
      <alignment/>
    </xf>
    <xf numFmtId="0" fontId="11" fillId="2" borderId="0" xfId="0" applyFont="1" applyFill="1" applyAlignment="1">
      <alignment/>
    </xf>
    <xf numFmtId="0" fontId="11" fillId="0" borderId="0" xfId="0" applyFont="1" applyAlignment="1">
      <alignment/>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 xfId="0" applyFont="1" applyFill="1" applyBorder="1" applyAlignment="1">
      <alignment vertical="center"/>
    </xf>
    <xf numFmtId="0" fontId="13" fillId="2" borderId="2" xfId="0" applyFont="1" applyFill="1" applyBorder="1" applyAlignment="1">
      <alignment vertical="center"/>
    </xf>
    <xf numFmtId="0" fontId="13" fillId="2" borderId="4" xfId="0" applyFont="1" applyFill="1" applyBorder="1" applyAlignment="1">
      <alignment horizontal="distributed" vertical="center"/>
    </xf>
    <xf numFmtId="0" fontId="11" fillId="0" borderId="5" xfId="0" applyNumberFormat="1" applyFont="1" applyFill="1" applyBorder="1" applyAlignment="1" applyProtection="1">
      <alignment horizontal="center" vertical="center"/>
      <protection locked="0"/>
    </xf>
    <xf numFmtId="0" fontId="11" fillId="0" borderId="6" xfId="0" applyNumberFormat="1" applyFont="1" applyFill="1" applyBorder="1" applyAlignment="1" applyProtection="1">
      <alignment horizontal="center" vertical="center"/>
      <protection locked="0"/>
    </xf>
    <xf numFmtId="0" fontId="13" fillId="2" borderId="7"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5" xfId="0" applyFont="1" applyFill="1" applyBorder="1" applyAlignment="1">
      <alignment vertical="center"/>
    </xf>
    <xf numFmtId="0" fontId="13" fillId="2" borderId="6" xfId="0" applyFont="1" applyFill="1" applyBorder="1" applyAlignment="1">
      <alignment vertical="center"/>
    </xf>
    <xf numFmtId="0" fontId="11" fillId="0" borderId="8" xfId="0" applyNumberFormat="1" applyFont="1" applyFill="1" applyBorder="1" applyAlignment="1" applyProtection="1">
      <alignment horizontal="center" vertical="center"/>
      <protection locked="0"/>
    </xf>
    <xf numFmtId="49" fontId="11" fillId="2" borderId="9" xfId="0" applyNumberFormat="1" applyFont="1" applyFill="1" applyBorder="1" applyAlignment="1" applyProtection="1">
      <alignment horizontal="center" vertical="center"/>
      <protection locked="0"/>
    </xf>
    <xf numFmtId="49" fontId="11" fillId="2" borderId="10" xfId="0" applyNumberFormat="1" applyFont="1" applyFill="1" applyBorder="1" applyAlignment="1" applyProtection="1">
      <alignment horizontal="center" vertical="center"/>
      <protection locked="0"/>
    </xf>
    <xf numFmtId="0" fontId="11" fillId="0" borderId="9" xfId="0" applyNumberFormat="1" applyFont="1" applyFill="1" applyBorder="1" applyAlignment="1" applyProtection="1">
      <alignment horizontal="center" vertical="center"/>
      <protection locked="0"/>
    </xf>
    <xf numFmtId="0" fontId="11" fillId="3" borderId="9" xfId="0" applyNumberFormat="1" applyFont="1" applyFill="1" applyBorder="1" applyAlignment="1" applyProtection="1">
      <alignment horizontal="center" vertical="center"/>
      <protection locked="0"/>
    </xf>
    <xf numFmtId="0" fontId="11" fillId="0" borderId="10" xfId="0" applyNumberFormat="1" applyFont="1" applyFill="1" applyBorder="1" applyAlignment="1" applyProtection="1">
      <alignment horizontal="center" vertical="center"/>
      <protection locked="0"/>
    </xf>
    <xf numFmtId="0" fontId="12" fillId="2" borderId="7" xfId="0" applyFont="1" applyFill="1" applyBorder="1" applyAlignment="1">
      <alignment horizontal="center" vertical="center"/>
    </xf>
    <xf numFmtId="0" fontId="13" fillId="2" borderId="11" xfId="0" applyFont="1" applyFill="1" applyBorder="1" applyAlignment="1">
      <alignment vertical="center" shrinkToFit="1"/>
    </xf>
    <xf numFmtId="0" fontId="13" fillId="2" borderId="7" xfId="0" applyFont="1" applyFill="1" applyBorder="1" applyAlignment="1">
      <alignment horizontal="distributed" vertical="center"/>
    </xf>
    <xf numFmtId="0" fontId="12" fillId="2" borderId="12" xfId="0" applyFont="1" applyFill="1" applyBorder="1" applyAlignment="1">
      <alignment horizontal="center" vertical="center"/>
    </xf>
    <xf numFmtId="0" fontId="11" fillId="2" borderId="13" xfId="0" applyFont="1" applyFill="1" applyBorder="1" applyAlignment="1">
      <alignment vertical="center"/>
    </xf>
    <xf numFmtId="0" fontId="11" fillId="2" borderId="14" xfId="0" applyFont="1" applyFill="1" applyBorder="1" applyAlignment="1">
      <alignment/>
    </xf>
    <xf numFmtId="0" fontId="11" fillId="2" borderId="15" xfId="0" applyFont="1" applyFill="1" applyBorder="1" applyAlignment="1">
      <alignment/>
    </xf>
    <xf numFmtId="0" fontId="13" fillId="2" borderId="16" xfId="0" applyFont="1" applyFill="1" applyBorder="1" applyAlignment="1">
      <alignment horizontal="distributed" vertical="center"/>
    </xf>
    <xf numFmtId="0" fontId="12" fillId="2" borderId="0" xfId="0" applyFont="1" applyFill="1" applyBorder="1" applyAlignment="1">
      <alignment horizontal="left" vertical="center"/>
    </xf>
    <xf numFmtId="0" fontId="11" fillId="2" borderId="0" xfId="0" applyFont="1" applyFill="1" applyBorder="1" applyAlignment="1" applyProtection="1">
      <alignment horizontal="center" vertical="center"/>
      <protection locked="0"/>
    </xf>
    <xf numFmtId="0" fontId="11" fillId="2" borderId="0" xfId="0" applyFont="1" applyFill="1" applyBorder="1" applyAlignment="1" applyProtection="1">
      <alignment horizontal="left"/>
      <protection locked="0"/>
    </xf>
    <xf numFmtId="0" fontId="15" fillId="2" borderId="0" xfId="0" applyFont="1" applyFill="1" applyBorder="1" applyAlignment="1" applyProtection="1">
      <alignment horizontal="center"/>
      <protection locked="0"/>
    </xf>
    <xf numFmtId="0" fontId="11" fillId="2" borderId="0" xfId="0" applyFont="1" applyFill="1" applyBorder="1" applyAlignment="1" applyProtection="1">
      <alignment horizontal="left" vertical="center"/>
      <protection locked="0"/>
    </xf>
    <xf numFmtId="0" fontId="11" fillId="2" borderId="9" xfId="0" applyFont="1" applyFill="1" applyBorder="1" applyAlignment="1">
      <alignment vertical="center"/>
    </xf>
    <xf numFmtId="0" fontId="15" fillId="4" borderId="9" xfId="0" applyFont="1" applyFill="1" applyBorder="1" applyAlignment="1" applyProtection="1">
      <alignment horizontal="center" vertical="center"/>
      <protection locked="0"/>
    </xf>
    <xf numFmtId="0" fontId="12" fillId="2" borderId="9" xfId="0" applyFont="1" applyFill="1" applyBorder="1" applyAlignment="1">
      <alignment horizontal="center" vertical="center"/>
    </xf>
    <xf numFmtId="0" fontId="11" fillId="2" borderId="17" xfId="0" applyFont="1" applyFill="1" applyBorder="1" applyAlignment="1">
      <alignment vertical="center"/>
    </xf>
    <xf numFmtId="0" fontId="11" fillId="2" borderId="18" xfId="0" applyFont="1" applyFill="1" applyBorder="1" applyAlignment="1">
      <alignment vertical="center"/>
    </xf>
    <xf numFmtId="0" fontId="11" fillId="2" borderId="19" xfId="0" applyFont="1" applyFill="1" applyBorder="1" applyAlignment="1">
      <alignment/>
    </xf>
    <xf numFmtId="0" fontId="11" fillId="2" borderId="9" xfId="0" applyFont="1" applyFill="1" applyBorder="1" applyAlignment="1">
      <alignment horizontal="center"/>
    </xf>
    <xf numFmtId="0" fontId="11" fillId="2" borderId="17" xfId="0" applyFont="1" applyFill="1" applyBorder="1" applyAlignment="1">
      <alignment horizontal="center"/>
    </xf>
    <xf numFmtId="0" fontId="11" fillId="2" borderId="18" xfId="0" applyFont="1" applyFill="1" applyBorder="1" applyAlignment="1">
      <alignment horizontal="center"/>
    </xf>
    <xf numFmtId="0" fontId="11" fillId="2" borderId="19" xfId="0" applyFont="1" applyFill="1" applyBorder="1" applyAlignment="1">
      <alignment horizontal="center"/>
    </xf>
    <xf numFmtId="0" fontId="11" fillId="2" borderId="9" xfId="0" applyFont="1" applyFill="1" applyBorder="1" applyAlignment="1">
      <alignment/>
    </xf>
    <xf numFmtId="49" fontId="11" fillId="0" borderId="9" xfId="0" applyNumberFormat="1" applyFont="1" applyBorder="1" applyAlignment="1" applyProtection="1">
      <alignment/>
      <protection locked="0"/>
    </xf>
    <xf numFmtId="38" fontId="11" fillId="0" borderId="9" xfId="17" applyFont="1" applyBorder="1" applyAlignment="1" applyProtection="1">
      <alignment/>
      <protection locked="0"/>
    </xf>
    <xf numFmtId="0" fontId="11" fillId="0" borderId="9" xfId="0" applyNumberFormat="1" applyFont="1" applyBorder="1" applyAlignment="1" applyProtection="1">
      <alignment/>
      <protection locked="0"/>
    </xf>
    <xf numFmtId="49" fontId="11" fillId="0" borderId="9" xfId="0" applyNumberFormat="1" applyFont="1" applyBorder="1" applyAlignment="1" applyProtection="1">
      <alignment horizontal="center"/>
      <protection locked="0"/>
    </xf>
    <xf numFmtId="57" fontId="11" fillId="0" borderId="9" xfId="0" applyNumberFormat="1" applyFont="1" applyBorder="1" applyAlignment="1" applyProtection="1">
      <alignment horizontal="center"/>
      <protection locked="0"/>
    </xf>
    <xf numFmtId="49" fontId="11" fillId="2" borderId="9" xfId="0" applyNumberFormat="1" applyFont="1" applyFill="1" applyBorder="1" applyAlignment="1">
      <alignment/>
    </xf>
    <xf numFmtId="49" fontId="11" fillId="2" borderId="9" xfId="0" applyNumberFormat="1" applyFont="1" applyFill="1" applyBorder="1" applyAlignment="1">
      <alignment horizontal="center"/>
    </xf>
    <xf numFmtId="49" fontId="11" fillId="0" borderId="9" xfId="0" applyNumberFormat="1" applyFont="1" applyFill="1" applyBorder="1" applyAlignment="1" applyProtection="1">
      <alignment horizontal="center"/>
      <protection locked="0"/>
    </xf>
    <xf numFmtId="49" fontId="11" fillId="0" borderId="9" xfId="0" applyNumberFormat="1" applyFont="1" applyFill="1" applyBorder="1" applyAlignment="1" applyProtection="1">
      <alignment horizontal="left"/>
      <protection locked="0"/>
    </xf>
    <xf numFmtId="49" fontId="11" fillId="2" borderId="20" xfId="0" applyNumberFormat="1" applyFont="1" applyFill="1" applyBorder="1" applyAlignment="1">
      <alignment horizontal="center"/>
    </xf>
    <xf numFmtId="49" fontId="11" fillId="0" borderId="20" xfId="0" applyNumberFormat="1" applyFont="1" applyBorder="1" applyAlignment="1" applyProtection="1">
      <alignment horizontal="center"/>
      <protection locked="0"/>
    </xf>
    <xf numFmtId="0" fontId="13" fillId="2" borderId="21" xfId="0" applyFont="1" applyFill="1" applyBorder="1" applyAlignment="1">
      <alignment horizontal="center" vertical="center"/>
    </xf>
    <xf numFmtId="0" fontId="11" fillId="2" borderId="22" xfId="0" applyFont="1" applyFill="1" applyBorder="1" applyAlignment="1">
      <alignment horizontal="center" vertical="center"/>
    </xf>
    <xf numFmtId="0" fontId="11" fillId="2" borderId="22" xfId="0" applyFont="1" applyFill="1" applyBorder="1" applyAlignment="1" applyProtection="1">
      <alignment horizontal="center" vertical="center"/>
      <protection/>
    </xf>
    <xf numFmtId="0" fontId="11" fillId="2" borderId="22" xfId="0" applyFont="1" applyFill="1" applyBorder="1" applyAlignment="1" applyProtection="1">
      <alignment horizontal="center" vertical="center"/>
      <protection locked="0"/>
    </xf>
    <xf numFmtId="0" fontId="11" fillId="2" borderId="23" xfId="0" applyFont="1" applyFill="1" applyBorder="1" applyAlignment="1" applyProtection="1">
      <alignment horizontal="center" vertical="center"/>
      <protection locked="0"/>
    </xf>
    <xf numFmtId="0" fontId="13" fillId="2" borderId="0" xfId="0" applyFont="1" applyFill="1" applyBorder="1" applyAlignment="1">
      <alignment/>
    </xf>
    <xf numFmtId="0" fontId="11" fillId="2" borderId="0" xfId="0" applyFont="1" applyFill="1" applyBorder="1" applyAlignment="1">
      <alignment/>
    </xf>
    <xf numFmtId="0" fontId="13" fillId="2" borderId="24" xfId="0" applyNumberFormat="1" applyFont="1" applyFill="1" applyBorder="1" applyAlignment="1">
      <alignment horizontal="distributed"/>
    </xf>
    <xf numFmtId="49" fontId="11" fillId="0" borderId="25" xfId="0" applyNumberFormat="1" applyFont="1" applyBorder="1" applyAlignment="1" applyProtection="1">
      <alignment horizontal="center"/>
      <protection locked="0"/>
    </xf>
    <xf numFmtId="0" fontId="11" fillId="2" borderId="0" xfId="0" applyNumberFormat="1" applyFont="1" applyFill="1" applyAlignment="1">
      <alignment/>
    </xf>
    <xf numFmtId="0" fontId="11" fillId="0" borderId="0" xfId="0" applyNumberFormat="1" applyFont="1" applyAlignment="1">
      <alignment/>
    </xf>
    <xf numFmtId="0" fontId="13" fillId="2" borderId="26" xfId="0" applyFont="1" applyFill="1" applyBorder="1" applyAlignment="1">
      <alignment horizontal="distributed"/>
    </xf>
    <xf numFmtId="0" fontId="11" fillId="0" borderId="27" xfId="0" applyFont="1" applyBorder="1" applyAlignment="1" applyProtection="1">
      <alignment horizontal="left"/>
      <protection locked="0"/>
    </xf>
    <xf numFmtId="2" fontId="11" fillId="0" borderId="27" xfId="0" applyNumberFormat="1" applyFont="1" applyBorder="1" applyAlignment="1" applyProtection="1">
      <alignment horizontal="left"/>
      <protection locked="0"/>
    </xf>
    <xf numFmtId="0" fontId="11" fillId="2" borderId="28" xfId="0" applyFont="1" applyFill="1" applyBorder="1" applyAlignment="1">
      <alignment horizontal="center"/>
    </xf>
    <xf numFmtId="0" fontId="15" fillId="0" borderId="29" xfId="0" applyFont="1" applyBorder="1" applyAlignment="1" applyProtection="1">
      <alignment horizontal="center"/>
      <protection locked="0"/>
    </xf>
    <xf numFmtId="0" fontId="11" fillId="2" borderId="30" xfId="0" applyFont="1" applyFill="1" applyBorder="1" applyAlignment="1">
      <alignment horizontal="center"/>
    </xf>
    <xf numFmtId="0" fontId="15" fillId="0" borderId="31" xfId="0" applyFont="1" applyBorder="1" applyAlignment="1" applyProtection="1">
      <alignment horizontal="center"/>
      <protection locked="0"/>
    </xf>
    <xf numFmtId="38" fontId="11" fillId="3" borderId="27" xfId="17" applyFont="1" applyFill="1" applyBorder="1" applyAlignment="1" applyProtection="1">
      <alignment horizontal="center"/>
      <protection locked="0"/>
    </xf>
    <xf numFmtId="38" fontId="11" fillId="3" borderId="29" xfId="17" applyFont="1" applyFill="1" applyBorder="1" applyAlignment="1" applyProtection="1">
      <alignment horizontal="center"/>
      <protection locked="0"/>
    </xf>
    <xf numFmtId="0" fontId="11" fillId="2" borderId="0" xfId="0" applyFont="1" applyFill="1" applyBorder="1" applyAlignment="1">
      <alignment vertical="center"/>
    </xf>
    <xf numFmtId="0" fontId="13" fillId="2" borderId="0" xfId="0" applyFont="1" applyFill="1" applyBorder="1" applyAlignment="1">
      <alignment horizontal="left"/>
    </xf>
    <xf numFmtId="0" fontId="13" fillId="2" borderId="24" xfId="0" applyNumberFormat="1" applyFont="1" applyFill="1" applyBorder="1" applyAlignment="1">
      <alignment horizontal="distributed"/>
    </xf>
    <xf numFmtId="0" fontId="13" fillId="2" borderId="26" xfId="0" applyNumberFormat="1" applyFont="1" applyFill="1" applyBorder="1" applyAlignment="1">
      <alignment horizontal="distributed"/>
    </xf>
    <xf numFmtId="0" fontId="11" fillId="0" borderId="27" xfId="0" applyNumberFormat="1" applyFont="1" applyBorder="1" applyAlignment="1" applyProtection="1">
      <alignment horizontal="center"/>
      <protection locked="0"/>
    </xf>
    <xf numFmtId="0" fontId="13" fillId="2" borderId="26" xfId="0" applyFont="1" applyFill="1" applyBorder="1" applyAlignment="1">
      <alignment horizontal="distributed"/>
    </xf>
    <xf numFmtId="40" fontId="11" fillId="0" borderId="27" xfId="17" applyNumberFormat="1" applyFont="1" applyBorder="1" applyAlignment="1" applyProtection="1">
      <alignment horizontal="right"/>
      <protection locked="0"/>
    </xf>
    <xf numFmtId="40" fontId="11" fillId="3" borderId="27" xfId="17" applyNumberFormat="1" applyFont="1" applyFill="1" applyBorder="1" applyAlignment="1" applyProtection="1">
      <alignment horizontal="right"/>
      <protection locked="0"/>
    </xf>
    <xf numFmtId="0" fontId="13" fillId="2" borderId="26" xfId="0" applyFont="1" applyFill="1" applyBorder="1" applyAlignment="1">
      <alignment shrinkToFit="1"/>
    </xf>
    <xf numFmtId="0" fontId="13" fillId="2" borderId="30" xfId="0" applyFont="1" applyFill="1" applyBorder="1" applyAlignment="1">
      <alignment horizontal="distributed"/>
    </xf>
    <xf numFmtId="0" fontId="11" fillId="0" borderId="31" xfId="0" applyFont="1" applyBorder="1" applyAlignment="1" applyProtection="1">
      <alignment horizontal="left" vertical="center"/>
      <protection locked="0"/>
    </xf>
    <xf numFmtId="0" fontId="11" fillId="2" borderId="28" xfId="0" applyFont="1" applyFill="1" applyBorder="1" applyAlignment="1">
      <alignment horizontal="distributed"/>
    </xf>
    <xf numFmtId="38" fontId="15" fillId="0" borderId="29" xfId="17" applyFont="1" applyFill="1" applyBorder="1" applyAlignment="1" applyProtection="1">
      <alignment horizontal="center" vertical="center"/>
      <protection locked="0"/>
    </xf>
    <xf numFmtId="38" fontId="15" fillId="0" borderId="32" xfId="17" applyFont="1" applyFill="1" applyBorder="1" applyAlignment="1" applyProtection="1">
      <alignment horizontal="center" vertical="center"/>
      <protection locked="0"/>
    </xf>
    <xf numFmtId="0" fontId="11" fillId="2" borderId="30" xfId="0" applyFont="1" applyFill="1" applyBorder="1" applyAlignment="1">
      <alignment horizontal="distributed"/>
    </xf>
    <xf numFmtId="38" fontId="15" fillId="0" borderId="31" xfId="17" applyFont="1" applyFill="1" applyBorder="1" applyAlignment="1" applyProtection="1">
      <alignment horizontal="center" vertical="center"/>
      <protection locked="0"/>
    </xf>
    <xf numFmtId="38" fontId="15" fillId="0" borderId="33" xfId="17" applyFont="1" applyFill="1" applyBorder="1" applyAlignment="1" applyProtection="1">
      <alignment horizontal="center" vertical="center"/>
      <protection locked="0"/>
    </xf>
    <xf numFmtId="40" fontId="11" fillId="2" borderId="27" xfId="17" applyNumberFormat="1" applyFont="1" applyFill="1" applyBorder="1" applyAlignment="1" applyProtection="1">
      <alignment horizontal="right"/>
      <protection/>
    </xf>
    <xf numFmtId="40" fontId="11" fillId="2" borderId="27" xfId="17" applyNumberFormat="1" applyFont="1" applyFill="1" applyBorder="1" applyAlignment="1" applyProtection="1">
      <alignment/>
      <protection/>
    </xf>
    <xf numFmtId="40" fontId="11" fillId="2" borderId="0" xfId="0" applyNumberFormat="1" applyFont="1" applyFill="1" applyBorder="1" applyAlignment="1">
      <alignment/>
    </xf>
    <xf numFmtId="38" fontId="11" fillId="3" borderId="31" xfId="17" applyFont="1" applyFill="1" applyBorder="1" applyAlignment="1" applyProtection="1">
      <alignment horizontal="center" vertical="center"/>
      <protection locked="0"/>
    </xf>
    <xf numFmtId="38" fontId="11" fillId="3" borderId="29" xfId="17" applyFont="1" applyFill="1" applyBorder="1" applyAlignment="1" applyProtection="1">
      <alignment horizontal="center" vertical="center"/>
      <protection locked="0"/>
    </xf>
    <xf numFmtId="0" fontId="13" fillId="2" borderId="20" xfId="0" applyFont="1" applyFill="1" applyBorder="1" applyAlignment="1">
      <alignment horizontal="distributed"/>
    </xf>
    <xf numFmtId="40" fontId="11" fillId="2" borderId="20" xfId="0" applyNumberFormat="1" applyFont="1" applyFill="1" applyBorder="1" applyAlignment="1" applyProtection="1">
      <alignment horizontal="right"/>
      <protection/>
    </xf>
    <xf numFmtId="0" fontId="12" fillId="2" borderId="0" xfId="0" applyFont="1" applyFill="1" applyBorder="1" applyAlignment="1">
      <alignment vertical="center"/>
    </xf>
    <xf numFmtId="0" fontId="11" fillId="2" borderId="0" xfId="0" applyFont="1" applyFill="1" applyAlignment="1">
      <alignment horizontal="center" vertical="center"/>
    </xf>
    <xf numFmtId="0" fontId="13" fillId="2" borderId="0" xfId="0" applyFont="1" applyFill="1" applyAlignment="1" applyProtection="1">
      <alignment vertical="center"/>
      <protection/>
    </xf>
    <xf numFmtId="0" fontId="11" fillId="2" borderId="0" xfId="0" applyFont="1" applyFill="1" applyAlignment="1" applyProtection="1">
      <alignment vertical="center"/>
      <protection/>
    </xf>
    <xf numFmtId="0" fontId="15" fillId="2" borderId="9" xfId="0" applyFont="1" applyFill="1" applyBorder="1" applyAlignment="1" applyProtection="1">
      <alignment horizontal="center" vertical="center"/>
      <protection/>
    </xf>
    <xf numFmtId="0" fontId="11" fillId="2" borderId="17" xfId="0" applyFont="1" applyFill="1" applyBorder="1" applyAlignment="1" applyProtection="1">
      <alignment vertical="center"/>
      <protection/>
    </xf>
    <xf numFmtId="0" fontId="11" fillId="2" borderId="19" xfId="0" applyFont="1" applyFill="1" applyBorder="1" applyAlignment="1" applyProtection="1">
      <alignment vertical="center"/>
      <protection/>
    </xf>
    <xf numFmtId="0" fontId="15" fillId="3" borderId="9" xfId="0" applyFont="1" applyFill="1" applyBorder="1" applyAlignment="1" applyProtection="1">
      <alignment horizontal="center" vertical="center"/>
      <protection locked="0"/>
    </xf>
    <xf numFmtId="0" fontId="11" fillId="2" borderId="34" xfId="0" applyFont="1" applyFill="1" applyBorder="1" applyAlignment="1" applyProtection="1">
      <alignment vertical="center"/>
      <protection/>
    </xf>
    <xf numFmtId="0" fontId="11" fillId="2" borderId="35" xfId="0" applyFont="1" applyFill="1" applyBorder="1" applyAlignment="1" applyProtection="1">
      <alignment vertical="center"/>
      <protection/>
    </xf>
    <xf numFmtId="0" fontId="11" fillId="3" borderId="34" xfId="0" applyFont="1" applyFill="1" applyBorder="1" applyAlignment="1" applyProtection="1">
      <alignment vertical="center"/>
      <protection locked="0"/>
    </xf>
    <xf numFmtId="0" fontId="11" fillId="3" borderId="35" xfId="0" applyFont="1" applyFill="1" applyBorder="1" applyAlignment="1" applyProtection="1">
      <alignment vertical="center"/>
      <protection/>
    </xf>
    <xf numFmtId="0" fontId="12" fillId="2" borderId="0" xfId="0" applyFont="1" applyFill="1" applyAlignment="1">
      <alignment vertical="center"/>
    </xf>
    <xf numFmtId="0" fontId="15" fillId="3" borderId="9" xfId="0" applyFont="1" applyFill="1" applyBorder="1" applyAlignment="1" applyProtection="1">
      <alignment horizontal="distributed" vertical="center"/>
      <protection locked="0"/>
    </xf>
    <xf numFmtId="0" fontId="11" fillId="3" borderId="17" xfId="0" applyFont="1" applyFill="1" applyBorder="1" applyAlignment="1" applyProtection="1">
      <alignment vertical="center"/>
      <protection locked="0"/>
    </xf>
    <xf numFmtId="0" fontId="11" fillId="3" borderId="19" xfId="0" applyFont="1" applyFill="1" applyBorder="1" applyAlignment="1" applyProtection="1">
      <alignment vertical="center"/>
      <protection/>
    </xf>
    <xf numFmtId="0" fontId="11" fillId="2" borderId="17" xfId="0" applyFont="1" applyFill="1" applyBorder="1" applyAlignment="1">
      <alignment horizontal="center" vertical="center"/>
    </xf>
    <xf numFmtId="0" fontId="11" fillId="2" borderId="19" xfId="0" applyFont="1" applyFill="1" applyBorder="1" applyAlignment="1">
      <alignment horizontal="center" vertical="center"/>
    </xf>
    <xf numFmtId="40" fontId="11" fillId="3" borderId="20" xfId="17" applyNumberFormat="1" applyFont="1" applyFill="1" applyBorder="1" applyAlignment="1" applyProtection="1">
      <alignment/>
      <protection locked="0"/>
    </xf>
    <xf numFmtId="0" fontId="12" fillId="2" borderId="9" xfId="0" applyFont="1" applyFill="1" applyBorder="1" applyAlignment="1">
      <alignment vertical="center"/>
    </xf>
    <xf numFmtId="40" fontId="11" fillId="3" borderId="36" xfId="17" applyNumberFormat="1" applyFont="1" applyFill="1" applyBorder="1" applyAlignment="1" applyProtection="1">
      <alignment/>
      <protection locked="0"/>
    </xf>
    <xf numFmtId="0" fontId="11" fillId="2" borderId="19" xfId="0" applyFont="1" applyFill="1" applyBorder="1" applyAlignment="1" applyProtection="1">
      <alignment horizontal="center" vertical="center"/>
      <protection/>
    </xf>
    <xf numFmtId="40" fontId="11" fillId="2" borderId="9" xfId="0" applyNumberFormat="1" applyFont="1" applyFill="1" applyBorder="1" applyAlignment="1" applyProtection="1">
      <alignment vertical="center"/>
      <protection/>
    </xf>
    <xf numFmtId="0" fontId="11" fillId="2" borderId="9" xfId="0" applyFont="1" applyFill="1" applyBorder="1" applyAlignment="1" applyProtection="1">
      <alignment horizontal="left" vertical="center"/>
      <protection/>
    </xf>
    <xf numFmtId="0" fontId="15" fillId="2" borderId="9" xfId="0" applyFont="1" applyFill="1" applyBorder="1" applyAlignment="1" applyProtection="1">
      <alignment horizontal="center" vertical="center"/>
      <protection locked="0"/>
    </xf>
    <xf numFmtId="0" fontId="11" fillId="2" borderId="0" xfId="0" applyFont="1" applyFill="1" applyAlignment="1">
      <alignment horizontal="center"/>
    </xf>
    <xf numFmtId="0" fontId="11" fillId="2" borderId="9" xfId="0" applyFont="1" applyFill="1" applyBorder="1" applyAlignment="1">
      <alignment horizontal="center" vertical="center"/>
    </xf>
    <xf numFmtId="38" fontId="11" fillId="2" borderId="9" xfId="0" applyNumberFormat="1" applyFont="1" applyFill="1" applyBorder="1" applyAlignment="1">
      <alignment horizontal="right" vertical="center"/>
    </xf>
    <xf numFmtId="57" fontId="11" fillId="2" borderId="9" xfId="0" applyNumberFormat="1" applyFont="1" applyFill="1" applyBorder="1" applyAlignment="1">
      <alignment horizontal="center" vertical="center"/>
    </xf>
    <xf numFmtId="40" fontId="11" fillId="2" borderId="9" xfId="0" applyNumberFormat="1" applyFont="1" applyFill="1" applyBorder="1" applyAlignment="1">
      <alignment horizontal="right" vertical="center"/>
    </xf>
    <xf numFmtId="0" fontId="11" fillId="2" borderId="9" xfId="0" applyFont="1" applyFill="1" applyBorder="1" applyAlignment="1">
      <alignment horizontal="left" vertical="center"/>
    </xf>
    <xf numFmtId="0" fontId="11" fillId="2" borderId="0" xfId="0" applyFont="1" applyFill="1" applyBorder="1" applyAlignment="1">
      <alignment horizontal="center" vertical="center"/>
    </xf>
    <xf numFmtId="38" fontId="11" fillId="2" borderId="0" xfId="0" applyNumberFormat="1" applyFont="1" applyFill="1" applyBorder="1" applyAlignment="1">
      <alignment horizontal="right" vertical="center"/>
    </xf>
    <xf numFmtId="57" fontId="11" fillId="2" borderId="0" xfId="0" applyNumberFormat="1" applyFont="1" applyFill="1" applyBorder="1" applyAlignment="1">
      <alignment horizontal="center" vertical="center"/>
    </xf>
    <xf numFmtId="40" fontId="11" fillId="2" borderId="0" xfId="0" applyNumberFormat="1" applyFont="1" applyFill="1" applyBorder="1" applyAlignment="1">
      <alignment horizontal="right" vertical="center"/>
    </xf>
    <xf numFmtId="0" fontId="11" fillId="2" borderId="0" xfId="0" applyFont="1" applyFill="1" applyBorder="1" applyAlignment="1">
      <alignment horizontal="left" vertical="center"/>
    </xf>
    <xf numFmtId="38" fontId="11" fillId="2" borderId="9" xfId="0" applyNumberFormat="1" applyFont="1" applyFill="1" applyBorder="1" applyAlignment="1">
      <alignment horizontal="center" vertical="center"/>
    </xf>
    <xf numFmtId="0" fontId="11" fillId="3" borderId="9" xfId="0" applyFont="1" applyFill="1" applyBorder="1" applyAlignment="1" applyProtection="1">
      <alignment horizontal="center" vertical="center"/>
      <protection locked="0"/>
    </xf>
    <xf numFmtId="38" fontId="11" fillId="3" borderId="9" xfId="0" applyNumberFormat="1" applyFont="1" applyFill="1" applyBorder="1" applyAlignment="1" applyProtection="1">
      <alignment horizontal="center" vertical="center"/>
      <protection locked="0"/>
    </xf>
    <xf numFmtId="57" fontId="11" fillId="2" borderId="0" xfId="0" applyNumberFormat="1" applyFont="1" applyFill="1" applyBorder="1" applyAlignment="1">
      <alignment horizontal="left" vertical="center"/>
    </xf>
    <xf numFmtId="38" fontId="11" fillId="2" borderId="0" xfId="0" applyNumberFormat="1" applyFont="1" applyFill="1" applyBorder="1" applyAlignment="1" applyProtection="1">
      <alignment horizontal="center" vertical="center"/>
      <protection locked="0"/>
    </xf>
    <xf numFmtId="0" fontId="13" fillId="2" borderId="9" xfId="0" applyFont="1" applyFill="1" applyBorder="1" applyAlignment="1">
      <alignment horizontal="center" vertical="center"/>
    </xf>
    <xf numFmtId="0" fontId="11" fillId="2" borderId="0" xfId="0" applyFont="1" applyFill="1" applyBorder="1" applyAlignment="1" applyProtection="1">
      <alignment/>
      <protection/>
    </xf>
    <xf numFmtId="0" fontId="11" fillId="2" borderId="37" xfId="0" applyFont="1" applyFill="1" applyBorder="1" applyAlignment="1">
      <alignment horizontal="center"/>
    </xf>
    <xf numFmtId="0" fontId="11" fillId="2" borderId="9" xfId="0" applyFont="1" applyFill="1" applyBorder="1" applyAlignment="1">
      <alignment horizontal="distributed" vertical="center"/>
    </xf>
    <xf numFmtId="0" fontId="11" fillId="3" borderId="9" xfId="0" applyFont="1" applyFill="1" applyBorder="1" applyAlignment="1" applyProtection="1">
      <alignment horizontal="left" vertical="center"/>
      <protection locked="0"/>
    </xf>
    <xf numFmtId="0" fontId="11" fillId="2" borderId="9" xfId="0" applyFont="1" applyFill="1" applyBorder="1" applyAlignment="1" applyProtection="1">
      <alignment horizontal="left" vertical="center"/>
      <protection locked="0"/>
    </xf>
    <xf numFmtId="0" fontId="11" fillId="2" borderId="9" xfId="0" applyFont="1" applyFill="1" applyBorder="1" applyAlignment="1" applyProtection="1">
      <alignment vertical="center"/>
      <protection locked="0"/>
    </xf>
    <xf numFmtId="0" fontId="16" fillId="2" borderId="37" xfId="0" applyFont="1" applyFill="1" applyBorder="1" applyAlignment="1" applyProtection="1">
      <alignment horizontal="center"/>
      <protection locked="0"/>
    </xf>
    <xf numFmtId="57" fontId="11" fillId="2" borderId="37" xfId="0" applyNumberFormat="1" applyFont="1" applyFill="1" applyBorder="1" applyAlignment="1" applyProtection="1">
      <alignment horizontal="center"/>
      <protection locked="0"/>
    </xf>
    <xf numFmtId="0" fontId="13" fillId="2" borderId="0" xfId="0" applyFont="1" applyFill="1" applyBorder="1" applyAlignment="1">
      <alignment horizontal="center" vertical="center"/>
    </xf>
    <xf numFmtId="0" fontId="11" fillId="2" borderId="0" xfId="0" applyFont="1" applyFill="1" applyBorder="1" applyAlignment="1" applyProtection="1">
      <alignment vertical="top"/>
      <protection locked="0"/>
    </xf>
    <xf numFmtId="0" fontId="12" fillId="2" borderId="0" xfId="0" applyFont="1" applyFill="1" applyBorder="1" applyAlignment="1" applyProtection="1">
      <alignment horizontal="center"/>
      <protection locked="0"/>
    </xf>
    <xf numFmtId="0" fontId="13" fillId="2" borderId="17" xfId="0" applyFont="1" applyFill="1" applyBorder="1" applyAlignment="1">
      <alignment horizontal="center" vertical="center"/>
    </xf>
    <xf numFmtId="0" fontId="13" fillId="2" borderId="19" xfId="0" applyFont="1" applyFill="1" applyBorder="1" applyAlignment="1">
      <alignment horizontal="center" vertical="center"/>
    </xf>
    <xf numFmtId="0" fontId="11" fillId="2" borderId="0" xfId="0" applyFont="1" applyFill="1" applyAlignment="1">
      <alignment/>
    </xf>
    <xf numFmtId="0" fontId="11" fillId="2" borderId="0" xfId="0" applyFont="1" applyFill="1" applyAlignment="1">
      <alignment vertical="top"/>
    </xf>
    <xf numFmtId="0" fontId="13" fillId="2" borderId="0" xfId="0" applyFont="1" applyFill="1" applyAlignment="1">
      <alignment vertical="top"/>
    </xf>
    <xf numFmtId="0" fontId="11" fillId="0" borderId="0" xfId="0" applyFont="1" applyFill="1" applyAlignment="1">
      <alignment/>
    </xf>
    <xf numFmtId="0" fontId="13" fillId="2" borderId="9" xfId="0" applyFont="1" applyFill="1" applyBorder="1" applyAlignment="1">
      <alignment horizontal="distributed" vertical="center"/>
    </xf>
    <xf numFmtId="0" fontId="11" fillId="0" borderId="9" xfId="0" applyFont="1" applyFill="1" applyBorder="1" applyAlignment="1" applyProtection="1">
      <alignment horizontal="left" vertical="center"/>
      <protection locked="0"/>
    </xf>
    <xf numFmtId="0" fontId="11" fillId="0" borderId="0" xfId="0" applyFont="1" applyAlignment="1">
      <alignment vertical="center"/>
    </xf>
    <xf numFmtId="0" fontId="11" fillId="2" borderId="9" xfId="0" applyFont="1" applyFill="1" applyBorder="1" applyAlignment="1" applyProtection="1">
      <alignment horizontal="center" vertical="center"/>
      <protection locked="0"/>
    </xf>
    <xf numFmtId="0" fontId="11" fillId="0" borderId="9" xfId="0" applyFont="1" applyFill="1" applyBorder="1" applyAlignment="1" applyProtection="1">
      <alignment horizontal="center" vertical="center"/>
      <protection locked="0"/>
    </xf>
    <xf numFmtId="38" fontId="11" fillId="0" borderId="9" xfId="17" applyFont="1" applyFill="1" applyBorder="1" applyAlignment="1" applyProtection="1">
      <alignment horizontal="center" vertical="center"/>
      <protection locked="0"/>
    </xf>
    <xf numFmtId="38" fontId="11" fillId="2" borderId="9" xfId="17" applyFont="1" applyFill="1" applyBorder="1" applyAlignment="1" applyProtection="1">
      <alignment horizontal="center" vertical="center"/>
      <protection/>
    </xf>
    <xf numFmtId="0" fontId="11" fillId="2" borderId="9" xfId="0" applyFont="1" applyFill="1" applyBorder="1" applyAlignment="1" applyProtection="1">
      <alignment horizontal="center" vertical="center"/>
      <protection/>
    </xf>
    <xf numFmtId="0" fontId="11" fillId="2" borderId="38" xfId="0" applyFont="1" applyFill="1" applyBorder="1" applyAlignment="1">
      <alignment vertical="center"/>
    </xf>
    <xf numFmtId="0" fontId="11" fillId="2" borderId="39" xfId="0" applyFont="1" applyFill="1" applyBorder="1" applyAlignment="1" applyProtection="1">
      <alignment horizontal="left" vertical="center"/>
      <protection locked="0"/>
    </xf>
    <xf numFmtId="0" fontId="11" fillId="2" borderId="18" xfId="0" applyFont="1" applyFill="1" applyBorder="1" applyAlignment="1">
      <alignment/>
    </xf>
    <xf numFmtId="0" fontId="11" fillId="2" borderId="19" xfId="0" applyFont="1" applyFill="1" applyBorder="1" applyAlignment="1">
      <alignment vertical="center"/>
    </xf>
    <xf numFmtId="0" fontId="11" fillId="3" borderId="9" xfId="0" applyFont="1" applyFill="1" applyBorder="1" applyAlignment="1">
      <alignment horizontal="center" vertical="center"/>
    </xf>
    <xf numFmtId="0" fontId="11" fillId="5" borderId="9" xfId="0" applyFont="1" applyFill="1" applyBorder="1" applyAlignment="1">
      <alignment horizontal="center" vertical="center"/>
    </xf>
    <xf numFmtId="0" fontId="11" fillId="2" borderId="0" xfId="0" applyFont="1" applyFill="1" applyAlignment="1" applyProtection="1">
      <alignment vertical="top"/>
      <protection/>
    </xf>
    <xf numFmtId="57" fontId="11" fillId="2" borderId="17" xfId="0" applyNumberFormat="1" applyFont="1" applyFill="1" applyBorder="1" applyAlignment="1">
      <alignment horizontal="center" vertical="center"/>
    </xf>
    <xf numFmtId="0" fontId="11" fillId="2" borderId="38" xfId="0" applyFont="1" applyFill="1" applyBorder="1" applyAlignment="1">
      <alignment horizontal="left" vertical="center" indent="1"/>
    </xf>
    <xf numFmtId="0" fontId="11" fillId="2" borderId="39" xfId="0" applyFont="1" applyFill="1" applyBorder="1" applyAlignment="1">
      <alignment horizontal="left" vertical="center" indent="1"/>
    </xf>
    <xf numFmtId="0" fontId="11" fillId="2" borderId="40" xfId="0" applyFont="1" applyFill="1" applyBorder="1" applyAlignment="1">
      <alignment horizontal="left" vertical="center" indent="1"/>
    </xf>
    <xf numFmtId="0" fontId="11" fillId="2" borderId="40" xfId="0" applyFont="1" applyFill="1" applyBorder="1" applyAlignment="1">
      <alignment/>
    </xf>
    <xf numFmtId="0" fontId="11" fillId="2" borderId="41" xfId="0" applyFont="1" applyFill="1" applyBorder="1" applyAlignment="1">
      <alignment horizontal="left" vertical="center" indent="1"/>
    </xf>
    <xf numFmtId="0" fontId="11" fillId="2" borderId="0" xfId="0" applyFont="1" applyFill="1" applyBorder="1" applyAlignment="1">
      <alignment horizontal="left" vertical="center" indent="1"/>
    </xf>
    <xf numFmtId="0" fontId="11" fillId="2" borderId="37" xfId="0" applyFont="1" applyFill="1" applyBorder="1" applyAlignment="1">
      <alignment horizontal="left" vertical="center" indent="1"/>
    </xf>
    <xf numFmtId="0" fontId="11" fillId="2" borderId="37" xfId="0" applyFont="1" applyFill="1" applyBorder="1" applyAlignment="1">
      <alignment/>
    </xf>
    <xf numFmtId="0" fontId="11" fillId="2" borderId="34" xfId="0" applyFont="1" applyFill="1" applyBorder="1" applyAlignment="1">
      <alignment horizontal="left" vertical="center" indent="1"/>
    </xf>
    <xf numFmtId="0" fontId="11" fillId="2" borderId="42" xfId="0" applyFont="1" applyFill="1" applyBorder="1" applyAlignment="1">
      <alignment horizontal="left" vertical="center" indent="1"/>
    </xf>
    <xf numFmtId="0" fontId="11" fillId="2" borderId="35" xfId="0" applyFont="1" applyFill="1" applyBorder="1" applyAlignment="1">
      <alignment horizontal="left" vertical="center" indent="1"/>
    </xf>
    <xf numFmtId="0" fontId="11" fillId="2" borderId="35" xfId="0" applyFont="1" applyFill="1" applyBorder="1" applyAlignment="1">
      <alignment/>
    </xf>
    <xf numFmtId="0" fontId="13" fillId="2" borderId="0" xfId="0" applyFont="1" applyFill="1" applyBorder="1" applyAlignment="1">
      <alignment vertical="top"/>
    </xf>
    <xf numFmtId="0" fontId="11" fillId="2" borderId="0" xfId="0" applyFont="1" applyFill="1" applyBorder="1" applyAlignment="1" applyProtection="1">
      <alignment vertical="top"/>
      <protection/>
    </xf>
    <xf numFmtId="0" fontId="11" fillId="0" borderId="9" xfId="0" applyFont="1" applyBorder="1" applyAlignment="1" applyProtection="1">
      <alignment horizontal="left" vertical="center"/>
      <protection locked="0"/>
    </xf>
    <xf numFmtId="38" fontId="11" fillId="2" borderId="9" xfId="17" applyFont="1" applyFill="1" applyBorder="1" applyAlignment="1" applyProtection="1">
      <alignment horizontal="center" vertical="center"/>
      <protection locked="0"/>
    </xf>
    <xf numFmtId="0" fontId="13" fillId="2" borderId="0" xfId="0" applyFont="1" applyFill="1" applyAlignment="1">
      <alignment vertical="center"/>
    </xf>
    <xf numFmtId="0" fontId="13" fillId="2" borderId="9" xfId="0" applyNumberFormat="1" applyFont="1" applyFill="1" applyBorder="1" applyAlignment="1">
      <alignment horizontal="distributed" vertical="center"/>
    </xf>
    <xf numFmtId="0" fontId="11" fillId="2" borderId="17" xfId="0" applyNumberFormat="1" applyFont="1" applyFill="1" applyBorder="1" applyAlignment="1" applyProtection="1">
      <alignment horizontal="center" vertical="center"/>
      <protection/>
    </xf>
    <xf numFmtId="0" fontId="11" fillId="2" borderId="9" xfId="0" applyNumberFormat="1" applyFont="1" applyFill="1" applyBorder="1" applyAlignment="1" applyProtection="1">
      <alignment horizontal="center" vertical="center"/>
      <protection/>
    </xf>
    <xf numFmtId="40" fontId="11" fillId="2" borderId="9" xfId="0" applyNumberFormat="1" applyFont="1" applyFill="1" applyBorder="1" applyAlignment="1" applyProtection="1">
      <alignment horizontal="center" vertical="center"/>
      <protection/>
    </xf>
    <xf numFmtId="57" fontId="11" fillId="0" borderId="9" xfId="0" applyNumberFormat="1" applyFont="1" applyFill="1" applyBorder="1" applyAlignment="1" applyProtection="1">
      <alignment horizontal="center" vertical="center"/>
      <protection locked="0"/>
    </xf>
    <xf numFmtId="0" fontId="11" fillId="0" borderId="17" xfId="0" applyNumberFormat="1" applyFont="1" applyFill="1" applyBorder="1" applyAlignment="1" applyProtection="1">
      <alignment horizontal="center" vertical="center"/>
      <protection locked="0"/>
    </xf>
    <xf numFmtId="0" fontId="11" fillId="0" borderId="38" xfId="0" applyNumberFormat="1" applyFont="1" applyFill="1" applyBorder="1" applyAlignment="1" applyProtection="1">
      <alignment horizontal="center" vertical="center"/>
      <protection locked="0"/>
    </xf>
    <xf numFmtId="57" fontId="11" fillId="2" borderId="9" xfId="0" applyNumberFormat="1" applyFont="1" applyFill="1" applyBorder="1" applyAlignment="1" applyProtection="1">
      <alignment horizontal="distributed" vertical="center"/>
      <protection/>
    </xf>
    <xf numFmtId="0" fontId="13" fillId="2" borderId="9" xfId="0" applyFont="1" applyFill="1" applyBorder="1" applyAlignment="1">
      <alignment vertical="center" wrapText="1"/>
    </xf>
    <xf numFmtId="57" fontId="11" fillId="0" borderId="17" xfId="0" applyNumberFormat="1" applyFont="1" applyFill="1" applyBorder="1" applyAlignment="1" applyProtection="1">
      <alignment vertical="center"/>
      <protection locked="0"/>
    </xf>
    <xf numFmtId="57" fontId="11" fillId="0" borderId="9" xfId="0" applyNumberFormat="1" applyFont="1" applyFill="1" applyBorder="1" applyAlignment="1" applyProtection="1">
      <alignment vertical="center"/>
      <protection locked="0"/>
    </xf>
    <xf numFmtId="0" fontId="11" fillId="0" borderId="17" xfId="0" applyFont="1" applyFill="1" applyBorder="1" applyAlignment="1" applyProtection="1">
      <alignment vertical="center"/>
      <protection locked="0"/>
    </xf>
    <xf numFmtId="0" fontId="11" fillId="0" borderId="9" xfId="0" applyFont="1" applyFill="1" applyBorder="1" applyAlignment="1" applyProtection="1">
      <alignment vertical="center"/>
      <protection locked="0"/>
    </xf>
    <xf numFmtId="0" fontId="11" fillId="2" borderId="9" xfId="0" applyFont="1" applyFill="1" applyBorder="1" applyAlignment="1" applyProtection="1">
      <alignment horizontal="distributed" vertical="center"/>
      <protection/>
    </xf>
    <xf numFmtId="0" fontId="13" fillId="2" borderId="17" xfId="0" applyFont="1" applyFill="1" applyBorder="1" applyAlignment="1">
      <alignment horizontal="distributed" vertical="center"/>
    </xf>
    <xf numFmtId="38" fontId="11" fillId="2" borderId="17" xfId="17" applyFont="1" applyFill="1" applyBorder="1" applyAlignment="1" applyProtection="1">
      <alignment horizontal="center" vertical="center"/>
      <protection locked="0"/>
    </xf>
    <xf numFmtId="0" fontId="11" fillId="2" borderId="9" xfId="0" applyFont="1" applyFill="1" applyBorder="1" applyAlignment="1">
      <alignment horizontal="distributed" vertical="center"/>
    </xf>
    <xf numFmtId="0" fontId="13" fillId="2" borderId="0" xfId="0" applyFont="1" applyFill="1" applyAlignment="1" applyProtection="1">
      <alignment vertical="top"/>
      <protection/>
    </xf>
    <xf numFmtId="0" fontId="13" fillId="2" borderId="0" xfId="0" applyFont="1" applyFill="1" applyAlignment="1">
      <alignment horizontal="center" vertical="center"/>
    </xf>
    <xf numFmtId="0" fontId="12" fillId="3" borderId="43" xfId="0" applyFont="1" applyFill="1" applyBorder="1" applyAlignment="1">
      <alignment horizontal="center" vertical="center"/>
    </xf>
    <xf numFmtId="0" fontId="13" fillId="2" borderId="0" xfId="0" applyFont="1" applyFill="1" applyAlignment="1">
      <alignment/>
    </xf>
    <xf numFmtId="0" fontId="11" fillId="0" borderId="0" xfId="0" applyFont="1" applyFill="1" applyAlignment="1">
      <alignment/>
    </xf>
    <xf numFmtId="0" fontId="11" fillId="0" borderId="0" xfId="0" applyFont="1" applyAlignment="1">
      <alignment/>
    </xf>
    <xf numFmtId="0" fontId="13" fillId="2" borderId="0" xfId="0" applyFont="1" applyFill="1" applyBorder="1" applyAlignment="1">
      <alignment vertical="center"/>
    </xf>
    <xf numFmtId="0" fontId="13" fillId="2" borderId="44" xfId="0" applyFont="1" applyFill="1" applyBorder="1" applyAlignment="1">
      <alignment horizontal="center" vertical="center"/>
    </xf>
    <xf numFmtId="0" fontId="13" fillId="2" borderId="45" xfId="0" applyFont="1" applyFill="1" applyBorder="1" applyAlignment="1">
      <alignment horizontal="center" vertical="center"/>
    </xf>
    <xf numFmtId="0" fontId="11" fillId="2" borderId="46" xfId="0" applyFont="1" applyFill="1" applyBorder="1" applyAlignment="1">
      <alignment horizontal="center" vertical="center"/>
    </xf>
    <xf numFmtId="0" fontId="13" fillId="2" borderId="0" xfId="0" applyFont="1" applyFill="1" applyAlignment="1">
      <alignment horizontal="left" vertical="center" wrapText="1" indent="1"/>
    </xf>
    <xf numFmtId="0" fontId="17" fillId="2" borderId="0" xfId="0" applyFont="1" applyFill="1" applyAlignment="1">
      <alignment horizontal="left" vertical="center" wrapText="1" indent="1"/>
    </xf>
    <xf numFmtId="0" fontId="13" fillId="2" borderId="47" xfId="0" applyFont="1" applyFill="1" applyBorder="1" applyAlignment="1">
      <alignment horizontal="center" vertical="center"/>
    </xf>
    <xf numFmtId="38" fontId="13" fillId="2" borderId="36" xfId="17" applyFont="1" applyFill="1" applyBorder="1" applyAlignment="1">
      <alignment vertical="center"/>
    </xf>
    <xf numFmtId="177" fontId="11" fillId="3" borderId="36" xfId="15" applyNumberFormat="1" applyFont="1" applyFill="1" applyBorder="1" applyAlignment="1" applyProtection="1">
      <alignment horizontal="center" vertical="center"/>
      <protection locked="0"/>
    </xf>
    <xf numFmtId="177" fontId="11" fillId="2" borderId="36" xfId="15" applyNumberFormat="1" applyFont="1" applyFill="1" applyBorder="1" applyAlignment="1" applyProtection="1">
      <alignment horizontal="center" vertical="center"/>
      <protection locked="0"/>
    </xf>
    <xf numFmtId="0" fontId="12" fillId="3" borderId="48" xfId="0" applyFont="1" applyFill="1" applyBorder="1" applyAlignment="1" applyProtection="1">
      <alignment horizontal="center" vertical="center"/>
      <protection locked="0"/>
    </xf>
    <xf numFmtId="0" fontId="13" fillId="5" borderId="36" xfId="0" applyFont="1" applyFill="1" applyBorder="1" applyAlignment="1">
      <alignment horizontal="center" vertical="center"/>
    </xf>
    <xf numFmtId="38" fontId="13" fillId="2" borderId="9" xfId="17" applyFont="1" applyFill="1" applyBorder="1" applyAlignment="1">
      <alignment vertical="center"/>
    </xf>
    <xf numFmtId="177" fontId="11" fillId="2" borderId="9" xfId="15" applyNumberFormat="1" applyFont="1" applyFill="1" applyBorder="1" applyAlignment="1" applyProtection="1">
      <alignment horizontal="center" vertical="center"/>
      <protection locked="0"/>
    </xf>
    <xf numFmtId="38" fontId="13" fillId="2" borderId="9" xfId="17" applyFont="1" applyFill="1" applyBorder="1" applyAlignment="1" applyProtection="1">
      <alignment horizontal="center" vertical="center"/>
      <protection locked="0"/>
    </xf>
    <xf numFmtId="0" fontId="13" fillId="5" borderId="20" xfId="0" applyFont="1" applyFill="1" applyBorder="1" applyAlignment="1">
      <alignment horizontal="center" vertical="center"/>
    </xf>
    <xf numFmtId="38" fontId="13" fillId="5" borderId="9" xfId="17" applyFont="1" applyFill="1" applyBorder="1" applyAlignment="1">
      <alignment vertical="center"/>
    </xf>
    <xf numFmtId="177" fontId="11" fillId="3" borderId="9" xfId="15" applyNumberFormat="1" applyFont="1" applyFill="1" applyBorder="1" applyAlignment="1" applyProtection="1">
      <alignment horizontal="center" vertical="center"/>
      <protection locked="0"/>
    </xf>
    <xf numFmtId="177" fontId="13" fillId="3" borderId="9" xfId="15" applyNumberFormat="1" applyFont="1" applyFill="1" applyBorder="1" applyAlignment="1" applyProtection="1">
      <alignment horizontal="center" vertical="center"/>
      <protection locked="0"/>
    </xf>
    <xf numFmtId="177" fontId="12" fillId="2" borderId="9" xfId="15" applyNumberFormat="1" applyFont="1" applyFill="1" applyBorder="1" applyAlignment="1" applyProtection="1">
      <alignment horizontal="center" vertical="center"/>
      <protection locked="0"/>
    </xf>
    <xf numFmtId="0" fontId="13" fillId="2" borderId="0" xfId="0" applyFont="1" applyFill="1" applyBorder="1" applyAlignment="1">
      <alignment horizontal="left" vertical="center"/>
    </xf>
    <xf numFmtId="38" fontId="13" fillId="2" borderId="0" xfId="17" applyFont="1" applyFill="1" applyBorder="1" applyAlignment="1">
      <alignment vertical="center"/>
    </xf>
    <xf numFmtId="9" fontId="13" fillId="2" borderId="0" xfId="15" applyFont="1" applyFill="1" applyBorder="1" applyAlignment="1">
      <alignment vertical="center"/>
    </xf>
    <xf numFmtId="9" fontId="12" fillId="2" borderId="0" xfId="15" applyFont="1" applyFill="1" applyBorder="1" applyAlignment="1">
      <alignment vertical="center"/>
    </xf>
    <xf numFmtId="38" fontId="18" fillId="2" borderId="49" xfId="17" applyFont="1" applyFill="1" applyBorder="1" applyAlignment="1">
      <alignment horizontal="center" vertical="center"/>
    </xf>
    <xf numFmtId="0" fontId="13" fillId="2" borderId="49" xfId="0" applyFont="1" applyFill="1" applyBorder="1" applyAlignment="1" applyProtection="1">
      <alignment horizontal="center" vertical="center"/>
      <protection locked="0"/>
    </xf>
    <xf numFmtId="0" fontId="16" fillId="2" borderId="9" xfId="0" applyFont="1" applyFill="1" applyBorder="1" applyAlignment="1">
      <alignment horizontal="center" vertical="center"/>
    </xf>
    <xf numFmtId="0" fontId="13" fillId="2" borderId="9" xfId="0" applyFont="1" applyFill="1" applyBorder="1" applyAlignment="1">
      <alignment vertical="center"/>
    </xf>
    <xf numFmtId="9" fontId="15" fillId="2" borderId="17" xfId="15" applyFont="1" applyFill="1" applyBorder="1" applyAlignment="1">
      <alignment horizontal="center" vertical="center"/>
    </xf>
    <xf numFmtId="177" fontId="12" fillId="2" borderId="17" xfId="15" applyNumberFormat="1" applyFont="1" applyFill="1" applyBorder="1" applyAlignment="1" applyProtection="1">
      <alignment horizontal="center" vertical="center"/>
      <protection locked="0"/>
    </xf>
    <xf numFmtId="0" fontId="17" fillId="2" borderId="0" xfId="0" applyFont="1" applyFill="1" applyBorder="1" applyAlignment="1">
      <alignment vertical="center" wrapText="1"/>
    </xf>
    <xf numFmtId="0" fontId="13" fillId="5" borderId="9" xfId="0" applyFont="1" applyFill="1" applyBorder="1" applyAlignment="1">
      <alignment vertical="center"/>
    </xf>
    <xf numFmtId="177" fontId="12" fillId="2" borderId="9" xfId="15" applyNumberFormat="1" applyFont="1" applyFill="1" applyBorder="1" applyAlignment="1" applyProtection="1">
      <alignment horizontal="center" vertical="center"/>
      <protection/>
    </xf>
    <xf numFmtId="0" fontId="11" fillId="2" borderId="17" xfId="0" applyFont="1" applyFill="1" applyBorder="1" applyAlignment="1">
      <alignment/>
    </xf>
    <xf numFmtId="0" fontId="11" fillId="2" borderId="19" xfId="0" applyFont="1" applyFill="1" applyBorder="1" applyAlignment="1">
      <alignment/>
    </xf>
    <xf numFmtId="9" fontId="12" fillId="2" borderId="0" xfId="15" applyFont="1" applyFill="1" applyBorder="1" applyAlignment="1" applyProtection="1">
      <alignment horizontal="center" vertical="center"/>
      <protection locked="0"/>
    </xf>
    <xf numFmtId="0" fontId="16" fillId="2" borderId="0" xfId="0" applyFont="1" applyFill="1" applyBorder="1" applyAlignment="1">
      <alignment horizontal="center"/>
    </xf>
    <xf numFmtId="0" fontId="13" fillId="2" borderId="0" xfId="0" applyFont="1" applyFill="1" applyBorder="1" applyAlignment="1">
      <alignment/>
    </xf>
    <xf numFmtId="177" fontId="12" fillId="2" borderId="0" xfId="15" applyNumberFormat="1" applyFont="1" applyFill="1" applyBorder="1" applyAlignment="1" applyProtection="1">
      <alignment horizontal="center"/>
      <protection/>
    </xf>
    <xf numFmtId="0" fontId="12" fillId="2" borderId="0" xfId="0" applyFont="1" applyFill="1" applyAlignment="1">
      <alignment/>
    </xf>
    <xf numFmtId="9" fontId="15" fillId="2" borderId="0" xfId="15" applyFont="1" applyFill="1" applyBorder="1" applyAlignment="1">
      <alignment horizontal="center"/>
    </xf>
    <xf numFmtId="0" fontId="13" fillId="2" borderId="0" xfId="0" applyFont="1" applyFill="1" applyBorder="1" applyAlignment="1" applyProtection="1">
      <alignment horizontal="center"/>
      <protection locked="0"/>
    </xf>
    <xf numFmtId="0" fontId="13" fillId="2" borderId="50" xfId="0" applyFont="1" applyFill="1" applyBorder="1" applyAlignment="1">
      <alignment horizontal="distributed" vertical="center"/>
    </xf>
    <xf numFmtId="0" fontId="13" fillId="2" borderId="51" xfId="0" applyFont="1" applyFill="1" applyBorder="1" applyAlignment="1">
      <alignment horizontal="center" vertical="center"/>
    </xf>
    <xf numFmtId="49" fontId="13" fillId="2" borderId="51" xfId="0" applyNumberFormat="1" applyFont="1" applyFill="1" applyBorder="1" applyAlignment="1">
      <alignment horizontal="center" vertical="center"/>
    </xf>
    <xf numFmtId="0" fontId="13" fillId="2" borderId="52" xfId="0" applyFont="1" applyFill="1" applyBorder="1" applyAlignment="1">
      <alignment horizontal="distributed" vertical="center"/>
    </xf>
    <xf numFmtId="0" fontId="13" fillId="2" borderId="53" xfId="0" applyFont="1" applyFill="1" applyBorder="1" applyAlignment="1">
      <alignment horizontal="center" vertical="center"/>
    </xf>
    <xf numFmtId="38" fontId="13" fillId="2" borderId="9" xfId="0" applyNumberFormat="1" applyFont="1" applyFill="1" applyBorder="1" applyAlignment="1">
      <alignment horizontal="right" vertical="center"/>
    </xf>
    <xf numFmtId="10" fontId="11" fillId="2" borderId="9" xfId="15" applyNumberFormat="1" applyFont="1" applyFill="1" applyBorder="1" applyAlignment="1" applyProtection="1">
      <alignment horizontal="distributed" vertical="center"/>
      <protection/>
    </xf>
    <xf numFmtId="0" fontId="13" fillId="3" borderId="52" xfId="0" applyFont="1" applyFill="1" applyBorder="1" applyAlignment="1" applyProtection="1">
      <alignment horizontal="center" vertical="center"/>
      <protection locked="0"/>
    </xf>
    <xf numFmtId="9" fontId="11" fillId="3" borderId="9" xfId="15" applyNumberFormat="1" applyFont="1" applyFill="1" applyBorder="1" applyAlignment="1" applyProtection="1">
      <alignment horizontal="distributed" vertical="center"/>
      <protection locked="0"/>
    </xf>
    <xf numFmtId="9" fontId="11" fillId="3" borderId="9" xfId="15" applyFont="1" applyFill="1" applyBorder="1" applyAlignment="1" applyProtection="1">
      <alignment horizontal="center" vertical="center"/>
      <protection locked="0"/>
    </xf>
    <xf numFmtId="176" fontId="13" fillId="2" borderId="9" xfId="17" applyNumberFormat="1" applyFont="1" applyFill="1" applyBorder="1" applyAlignment="1">
      <alignment horizontal="right" vertical="center"/>
    </xf>
    <xf numFmtId="176" fontId="13" fillId="2" borderId="9" xfId="17" applyNumberFormat="1" applyFont="1" applyFill="1" applyBorder="1" applyAlignment="1">
      <alignment vertical="center"/>
    </xf>
    <xf numFmtId="177" fontId="13" fillId="2" borderId="9" xfId="15" applyNumberFormat="1" applyFont="1" applyFill="1" applyBorder="1" applyAlignment="1" applyProtection="1">
      <alignment horizontal="center" vertical="center"/>
      <protection/>
    </xf>
    <xf numFmtId="10" fontId="11" fillId="3" borderId="9" xfId="15" applyNumberFormat="1" applyFont="1" applyFill="1" applyBorder="1" applyAlignment="1" applyProtection="1">
      <alignment horizontal="center" vertical="center"/>
      <protection locked="0"/>
    </xf>
    <xf numFmtId="10" fontId="11" fillId="2" borderId="9" xfId="15" applyNumberFormat="1" applyFont="1" applyFill="1" applyBorder="1" applyAlignment="1" applyProtection="1">
      <alignment horizontal="center" vertical="center"/>
      <protection/>
    </xf>
    <xf numFmtId="9" fontId="11" fillId="2" borderId="9" xfId="15" applyFont="1" applyFill="1" applyBorder="1" applyAlignment="1">
      <alignment horizontal="center" vertical="center"/>
    </xf>
    <xf numFmtId="0" fontId="13" fillId="6" borderId="52" xfId="0" applyFont="1" applyFill="1" applyBorder="1" applyAlignment="1">
      <alignment horizontal="distributed" vertical="center"/>
    </xf>
    <xf numFmtId="38" fontId="13" fillId="6" borderId="9" xfId="17" applyFont="1" applyFill="1" applyBorder="1" applyAlignment="1">
      <alignment vertical="center"/>
    </xf>
    <xf numFmtId="38" fontId="16" fillId="3" borderId="9" xfId="17" applyFont="1" applyFill="1" applyBorder="1" applyAlignment="1" applyProtection="1">
      <alignment horizontal="center" vertical="center"/>
      <protection locked="0"/>
    </xf>
    <xf numFmtId="177" fontId="11" fillId="2" borderId="9" xfId="15" applyNumberFormat="1" applyFont="1" applyFill="1" applyBorder="1" applyAlignment="1">
      <alignment horizontal="center" vertical="center"/>
    </xf>
    <xf numFmtId="9" fontId="11" fillId="2" borderId="9" xfId="15" applyFont="1" applyFill="1" applyBorder="1" applyAlignment="1" applyProtection="1">
      <alignment horizontal="center" vertical="center"/>
      <protection/>
    </xf>
    <xf numFmtId="9" fontId="11" fillId="5" borderId="9" xfId="15" applyFont="1" applyFill="1" applyBorder="1" applyAlignment="1" applyProtection="1">
      <alignment horizontal="center" vertical="center"/>
      <protection locked="0"/>
    </xf>
    <xf numFmtId="0" fontId="13" fillId="2" borderId="54" xfId="0" applyNumberFormat="1" applyFont="1" applyFill="1" applyBorder="1" applyAlignment="1">
      <alignment horizontal="distributed" vertical="center"/>
    </xf>
    <xf numFmtId="0" fontId="11" fillId="2" borderId="55" xfId="15" applyNumberFormat="1" applyFont="1" applyFill="1" applyBorder="1" applyAlignment="1" applyProtection="1">
      <alignment horizontal="left" vertical="center"/>
      <protection locked="0"/>
    </xf>
    <xf numFmtId="0" fontId="13" fillId="2" borderId="55" xfId="15" applyNumberFormat="1" applyFont="1" applyFill="1" applyBorder="1" applyAlignment="1" applyProtection="1">
      <alignment horizontal="left" vertical="center"/>
      <protection locked="0"/>
    </xf>
    <xf numFmtId="0" fontId="11" fillId="2" borderId="0" xfId="0" applyNumberFormat="1" applyFont="1" applyFill="1" applyAlignment="1">
      <alignment/>
    </xf>
    <xf numFmtId="0" fontId="11" fillId="0" borderId="0" xfId="0" applyNumberFormat="1" applyFont="1" applyFill="1" applyAlignment="1">
      <alignment/>
    </xf>
    <xf numFmtId="0" fontId="11" fillId="0" borderId="0" xfId="0" applyNumberFormat="1" applyFont="1" applyAlignment="1">
      <alignment/>
    </xf>
    <xf numFmtId="38" fontId="11" fillId="2" borderId="0" xfId="17" applyFont="1" applyFill="1" applyBorder="1" applyAlignment="1">
      <alignment vertical="center"/>
    </xf>
    <xf numFmtId="176" fontId="11" fillId="2" borderId="0" xfId="17" applyNumberFormat="1" applyFont="1" applyFill="1" applyBorder="1" applyAlignment="1">
      <alignment vertical="center"/>
    </xf>
    <xf numFmtId="176" fontId="11" fillId="5" borderId="0" xfId="17" applyNumberFormat="1" applyFont="1" applyFill="1" applyBorder="1" applyAlignment="1">
      <alignment vertical="center"/>
    </xf>
    <xf numFmtId="176" fontId="13" fillId="2" borderId="0" xfId="17" applyNumberFormat="1" applyFont="1" applyFill="1" applyBorder="1" applyAlignment="1">
      <alignment vertical="center"/>
    </xf>
    <xf numFmtId="38" fontId="11" fillId="2" borderId="0" xfId="17" applyFont="1" applyFill="1" applyAlignment="1">
      <alignment/>
    </xf>
    <xf numFmtId="38" fontId="11" fillId="2" borderId="0" xfId="17" applyFont="1" applyFill="1" applyAlignment="1">
      <alignment vertical="center"/>
    </xf>
    <xf numFmtId="0" fontId="13" fillId="2" borderId="56" xfId="0" applyFont="1" applyFill="1" applyBorder="1" applyAlignment="1">
      <alignment horizontal="center" vertical="center"/>
    </xf>
    <xf numFmtId="9" fontId="12" fillId="3" borderId="57" xfId="15" applyFont="1" applyFill="1" applyBorder="1" applyAlignment="1" applyProtection="1">
      <alignment horizontal="center" vertical="center"/>
      <protection locked="0"/>
    </xf>
    <xf numFmtId="0" fontId="11" fillId="2" borderId="0" xfId="0" applyFont="1" applyFill="1" applyAlignment="1">
      <alignment horizontal="left" vertical="center"/>
    </xf>
    <xf numFmtId="0" fontId="13" fillId="2" borderId="58" xfId="0" applyFont="1" applyFill="1" applyBorder="1" applyAlignment="1">
      <alignment horizontal="distributed" vertical="center"/>
    </xf>
    <xf numFmtId="0" fontId="13" fillId="2" borderId="59" xfId="0" applyFont="1" applyFill="1" applyBorder="1" applyAlignment="1">
      <alignment horizontal="center" vertical="center"/>
    </xf>
    <xf numFmtId="0" fontId="13" fillId="2" borderId="60" xfId="0" applyFont="1" applyFill="1" applyBorder="1" applyAlignment="1">
      <alignment horizontal="center" vertical="center"/>
    </xf>
    <xf numFmtId="0" fontId="13" fillId="2" borderId="61" xfId="0" applyFont="1" applyFill="1" applyBorder="1" applyAlignment="1">
      <alignment horizontal="distributed" vertical="center"/>
    </xf>
    <xf numFmtId="0" fontId="13" fillId="2" borderId="62" xfId="0" applyFont="1" applyFill="1" applyBorder="1" applyAlignment="1">
      <alignment horizontal="center" vertical="center"/>
    </xf>
    <xf numFmtId="0" fontId="13" fillId="2" borderId="19" xfId="0" applyNumberFormat="1" applyFont="1" applyFill="1" applyBorder="1" applyAlignment="1">
      <alignment horizontal="center" vertical="center"/>
    </xf>
    <xf numFmtId="0" fontId="13" fillId="2" borderId="9" xfId="0" applyNumberFormat="1" applyFont="1" applyFill="1" applyBorder="1" applyAlignment="1">
      <alignment horizontal="center" vertical="center"/>
    </xf>
    <xf numFmtId="38" fontId="11" fillId="2" borderId="62" xfId="17" applyFont="1" applyFill="1" applyBorder="1" applyAlignment="1">
      <alignment vertical="center"/>
    </xf>
    <xf numFmtId="38" fontId="11" fillId="3" borderId="19" xfId="17" applyFont="1" applyFill="1" applyBorder="1" applyAlignment="1" applyProtection="1">
      <alignment vertical="center"/>
      <protection locked="0"/>
    </xf>
    <xf numFmtId="176" fontId="13" fillId="2" borderId="63" xfId="0" applyNumberFormat="1" applyFont="1" applyFill="1" applyBorder="1" applyAlignment="1">
      <alignment vertical="center"/>
    </xf>
    <xf numFmtId="176" fontId="13" fillId="2" borderId="19" xfId="0" applyNumberFormat="1" applyFont="1" applyFill="1" applyBorder="1" applyAlignment="1">
      <alignment vertical="center"/>
    </xf>
    <xf numFmtId="176" fontId="13" fillId="2" borderId="9" xfId="0" applyNumberFormat="1" applyFont="1" applyFill="1" applyBorder="1" applyAlignment="1">
      <alignment vertical="center"/>
    </xf>
    <xf numFmtId="176" fontId="11" fillId="2" borderId="0" xfId="0" applyNumberFormat="1" applyFont="1" applyFill="1" applyBorder="1" applyAlignment="1">
      <alignment/>
    </xf>
    <xf numFmtId="0" fontId="11" fillId="2" borderId="0" xfId="0" applyFont="1" applyFill="1" applyBorder="1" applyAlignment="1">
      <alignment/>
    </xf>
    <xf numFmtId="38" fontId="11" fillId="2" borderId="63" xfId="0" applyNumberFormat="1" applyFont="1" applyFill="1" applyBorder="1" applyAlignment="1">
      <alignment vertical="center"/>
    </xf>
    <xf numFmtId="38" fontId="13" fillId="2" borderId="19" xfId="17" applyFont="1" applyFill="1" applyBorder="1" applyAlignment="1">
      <alignment vertical="center"/>
    </xf>
    <xf numFmtId="0" fontId="11" fillId="2" borderId="63" xfId="0" applyFont="1" applyFill="1" applyBorder="1" applyAlignment="1">
      <alignment vertical="center"/>
    </xf>
    <xf numFmtId="57" fontId="13" fillId="2" borderId="19" xfId="17" applyNumberFormat="1" applyFont="1" applyFill="1" applyBorder="1" applyAlignment="1">
      <alignment horizontal="center" vertical="center"/>
    </xf>
    <xf numFmtId="57" fontId="13" fillId="2" borderId="9" xfId="17" applyNumberFormat="1" applyFont="1" applyFill="1" applyBorder="1" applyAlignment="1">
      <alignment horizontal="center" vertical="center"/>
    </xf>
    <xf numFmtId="38" fontId="11" fillId="2" borderId="63" xfId="0" applyNumberFormat="1" applyFont="1" applyFill="1" applyBorder="1" applyAlignment="1">
      <alignment horizontal="center" vertical="center"/>
    </xf>
    <xf numFmtId="40" fontId="13" fillId="2" borderId="19" xfId="17" applyNumberFormat="1" applyFont="1" applyFill="1" applyBorder="1" applyAlignment="1" applyProtection="1">
      <alignment horizontal="center" vertical="center"/>
      <protection/>
    </xf>
    <xf numFmtId="40" fontId="13" fillId="2" borderId="9" xfId="17" applyNumberFormat="1" applyFont="1" applyFill="1" applyBorder="1" applyAlignment="1" applyProtection="1">
      <alignment horizontal="center" vertical="center"/>
      <protection/>
    </xf>
    <xf numFmtId="40" fontId="11" fillId="2" borderId="63" xfId="0" applyNumberFormat="1" applyFont="1" applyFill="1" applyBorder="1" applyAlignment="1">
      <alignment horizontal="center" vertical="center"/>
    </xf>
    <xf numFmtId="40" fontId="13" fillId="2" borderId="19" xfId="17" applyNumberFormat="1" applyFont="1" applyFill="1" applyBorder="1" applyAlignment="1">
      <alignment horizontal="center" vertical="center"/>
    </xf>
    <xf numFmtId="10" fontId="13" fillId="2" borderId="19" xfId="15" applyNumberFormat="1" applyFont="1" applyFill="1" applyBorder="1" applyAlignment="1">
      <alignment horizontal="center" vertical="center"/>
    </xf>
    <xf numFmtId="0" fontId="13" fillId="2" borderId="61" xfId="0" applyFont="1" applyFill="1" applyBorder="1" applyAlignment="1">
      <alignment horizontal="left" vertical="center" indent="1"/>
    </xf>
    <xf numFmtId="10" fontId="13" fillId="3" borderId="19" xfId="15" applyNumberFormat="1" applyFont="1" applyFill="1" applyBorder="1" applyAlignment="1" applyProtection="1">
      <alignment horizontal="center" vertical="center"/>
      <protection locked="0"/>
    </xf>
    <xf numFmtId="0" fontId="12" fillId="2" borderId="61" xfId="0" applyFont="1" applyFill="1" applyBorder="1" applyAlignment="1">
      <alignment horizontal="left" vertical="center"/>
    </xf>
    <xf numFmtId="0" fontId="15" fillId="3" borderId="19" xfId="15" applyNumberFormat="1" applyFont="1" applyFill="1" applyBorder="1" applyAlignment="1" applyProtection="1">
      <alignment horizontal="center" vertical="center"/>
      <protection locked="0"/>
    </xf>
    <xf numFmtId="10" fontId="11" fillId="2" borderId="19" xfId="15" applyNumberFormat="1" applyFont="1" applyFill="1" applyBorder="1" applyAlignment="1">
      <alignment horizontal="center" vertical="center"/>
    </xf>
    <xf numFmtId="0" fontId="12" fillId="2" borderId="0" xfId="0" applyFont="1" applyFill="1" applyBorder="1" applyAlignment="1">
      <alignment horizontal="center"/>
    </xf>
    <xf numFmtId="0" fontId="13" fillId="6" borderId="64" xfId="0" applyFont="1" applyFill="1" applyBorder="1" applyAlignment="1">
      <alignment horizontal="distributed" vertical="center"/>
    </xf>
    <xf numFmtId="38" fontId="11" fillId="6" borderId="65" xfId="0" applyNumberFormat="1" applyFont="1" applyFill="1" applyBorder="1" applyAlignment="1">
      <alignment vertical="center"/>
    </xf>
    <xf numFmtId="38" fontId="13" fillId="6" borderId="66" xfId="17" applyFont="1" applyFill="1" applyBorder="1" applyAlignment="1">
      <alignment vertical="center"/>
    </xf>
    <xf numFmtId="38" fontId="13" fillId="6" borderId="55" xfId="17" applyFont="1" applyFill="1" applyBorder="1" applyAlignment="1">
      <alignment vertical="center"/>
    </xf>
    <xf numFmtId="38" fontId="12" fillId="6" borderId="0" xfId="0" applyNumberFormat="1" applyFont="1" applyFill="1" applyBorder="1" applyAlignment="1">
      <alignment horizontal="center"/>
    </xf>
    <xf numFmtId="0" fontId="12" fillId="6" borderId="0" xfId="0" applyFont="1" applyFill="1" applyBorder="1" applyAlignment="1">
      <alignment horizontal="left"/>
    </xf>
    <xf numFmtId="0" fontId="11" fillId="6" borderId="0" xfId="0" applyFont="1" applyFill="1" applyBorder="1" applyAlignment="1">
      <alignment/>
    </xf>
    <xf numFmtId="0" fontId="11" fillId="6" borderId="0" xfId="0" applyFont="1" applyFill="1" applyAlignment="1">
      <alignment/>
    </xf>
    <xf numFmtId="0" fontId="13" fillId="2" borderId="18" xfId="0" applyFont="1" applyFill="1" applyBorder="1" applyAlignment="1">
      <alignment horizontal="distributed" vertical="center"/>
    </xf>
    <xf numFmtId="38" fontId="11" fillId="2" borderId="67" xfId="0" applyNumberFormat="1" applyFont="1" applyFill="1" applyBorder="1" applyAlignment="1">
      <alignment vertical="center"/>
    </xf>
    <xf numFmtId="38" fontId="12" fillId="2" borderId="0" xfId="0" applyNumberFormat="1" applyFont="1" applyFill="1" applyBorder="1" applyAlignment="1">
      <alignment horizontal="center"/>
    </xf>
    <xf numFmtId="0" fontId="12" fillId="2" borderId="0" xfId="0" applyFont="1" applyFill="1" applyBorder="1" applyAlignment="1">
      <alignment horizontal="left"/>
    </xf>
    <xf numFmtId="0" fontId="13" fillId="2" borderId="68" xfId="0" applyFont="1" applyFill="1" applyBorder="1" applyAlignment="1">
      <alignment horizontal="distributed" vertical="center"/>
    </xf>
    <xf numFmtId="176" fontId="11" fillId="2" borderId="63" xfId="0" applyNumberFormat="1" applyFont="1" applyFill="1" applyBorder="1" applyAlignment="1" applyProtection="1">
      <alignment vertical="center"/>
      <protection locked="0"/>
    </xf>
    <xf numFmtId="176" fontId="13" fillId="2" borderId="19" xfId="0" applyNumberFormat="1" applyFont="1" applyFill="1" applyBorder="1" applyAlignment="1" applyProtection="1">
      <alignment vertical="center"/>
      <protection locked="0"/>
    </xf>
    <xf numFmtId="176" fontId="11" fillId="2" borderId="9" xfId="0" applyNumberFormat="1" applyFont="1" applyFill="1" applyBorder="1" applyAlignment="1" applyProtection="1">
      <alignment vertical="center"/>
      <protection locked="0"/>
    </xf>
    <xf numFmtId="0" fontId="13" fillId="2" borderId="18" xfId="0" applyFont="1" applyFill="1" applyBorder="1" applyAlignment="1">
      <alignment vertical="center" shrinkToFit="1"/>
    </xf>
    <xf numFmtId="9" fontId="11" fillId="2" borderId="63" xfId="15" applyFont="1" applyFill="1" applyBorder="1" applyAlignment="1" applyProtection="1">
      <alignment horizontal="center" vertical="center"/>
      <protection locked="0"/>
    </xf>
    <xf numFmtId="9" fontId="13" fillId="3" borderId="19" xfId="15" applyFont="1" applyFill="1" applyBorder="1" applyAlignment="1" applyProtection="1">
      <alignment horizontal="center" vertical="center"/>
      <protection locked="0"/>
    </xf>
    <xf numFmtId="9" fontId="11" fillId="2" borderId="63" xfId="15" applyFont="1" applyFill="1" applyBorder="1" applyAlignment="1">
      <alignment horizontal="center" vertical="center"/>
    </xf>
    <xf numFmtId="177" fontId="13" fillId="2" borderId="19" xfId="15" applyNumberFormat="1" applyFont="1" applyFill="1" applyBorder="1" applyAlignment="1" applyProtection="1">
      <alignment horizontal="center" vertical="center"/>
      <protection locked="0"/>
    </xf>
    <xf numFmtId="177" fontId="13" fillId="2" borderId="9" xfId="15" applyNumberFormat="1" applyFont="1" applyFill="1" applyBorder="1" applyAlignment="1">
      <alignment horizontal="center" vertical="center"/>
    </xf>
    <xf numFmtId="38" fontId="13" fillId="2" borderId="19" xfId="0" applyNumberFormat="1" applyFont="1" applyFill="1" applyBorder="1" applyAlignment="1">
      <alignment vertical="center"/>
    </xf>
    <xf numFmtId="0" fontId="12" fillId="2" borderId="18" xfId="0" applyFont="1" applyFill="1" applyBorder="1" applyAlignment="1">
      <alignment horizontal="distributed" vertical="center"/>
    </xf>
    <xf numFmtId="176" fontId="11" fillId="2" borderId="63" xfId="0" applyNumberFormat="1" applyFont="1" applyFill="1" applyBorder="1" applyAlignment="1">
      <alignment vertical="center"/>
    </xf>
    <xf numFmtId="176" fontId="11" fillId="2" borderId="9" xfId="0" applyNumberFormat="1" applyFont="1" applyFill="1" applyBorder="1" applyAlignment="1">
      <alignment vertical="center"/>
    </xf>
    <xf numFmtId="38" fontId="11" fillId="3" borderId="63" xfId="0" applyNumberFormat="1" applyFont="1" applyFill="1" applyBorder="1" applyAlignment="1" applyProtection="1">
      <alignment horizontal="center" vertical="center"/>
      <protection locked="0"/>
    </xf>
    <xf numFmtId="38" fontId="13" fillId="3" borderId="19" xfId="0" applyNumberFormat="1" applyFont="1" applyFill="1" applyBorder="1" applyAlignment="1" applyProtection="1">
      <alignment horizontal="center" vertical="center"/>
      <protection locked="0"/>
    </xf>
    <xf numFmtId="38" fontId="13" fillId="3" borderId="9" xfId="0" applyNumberFormat="1" applyFont="1" applyFill="1" applyBorder="1" applyAlignment="1" applyProtection="1">
      <alignment horizontal="center" vertical="center"/>
      <protection locked="0"/>
    </xf>
    <xf numFmtId="0" fontId="11" fillId="2" borderId="63" xfId="0" applyFont="1" applyFill="1" applyBorder="1" applyAlignment="1">
      <alignment horizontal="center" vertical="center"/>
    </xf>
    <xf numFmtId="177" fontId="11" fillId="2" borderId="63" xfId="15" applyNumberFormat="1" applyFont="1" applyFill="1" applyBorder="1" applyAlignment="1">
      <alignment horizontal="center" vertical="center"/>
    </xf>
    <xf numFmtId="177" fontId="11" fillId="2" borderId="19" xfId="15" applyNumberFormat="1" applyFont="1" applyFill="1" applyBorder="1" applyAlignment="1">
      <alignment horizontal="center" vertical="center"/>
    </xf>
    <xf numFmtId="0" fontId="13" fillId="6" borderId="69" xfId="0" applyFont="1" applyFill="1" applyBorder="1" applyAlignment="1">
      <alignment horizontal="distributed" vertical="center"/>
    </xf>
    <xf numFmtId="38" fontId="13" fillId="2" borderId="66" xfId="17" applyFont="1" applyFill="1" applyBorder="1" applyAlignment="1">
      <alignment horizontal="right" vertical="center"/>
    </xf>
    <xf numFmtId="38" fontId="13" fillId="2" borderId="67" xfId="0" applyNumberFormat="1" applyFont="1" applyFill="1" applyBorder="1" applyAlignment="1">
      <alignment vertical="center"/>
    </xf>
    <xf numFmtId="38" fontId="13" fillId="2" borderId="60" xfId="0" applyNumberFormat="1" applyFont="1" applyFill="1" applyBorder="1" applyAlignment="1">
      <alignment vertical="center"/>
    </xf>
    <xf numFmtId="38" fontId="13" fillId="2" borderId="51" xfId="0" applyNumberFormat="1" applyFont="1" applyFill="1" applyBorder="1" applyAlignment="1">
      <alignment vertical="center"/>
    </xf>
    <xf numFmtId="9" fontId="11" fillId="2" borderId="19" xfId="15" applyFont="1" applyFill="1" applyBorder="1" applyAlignment="1">
      <alignment horizontal="center" vertical="center"/>
    </xf>
    <xf numFmtId="9" fontId="11" fillId="3" borderId="63" xfId="15" applyFont="1" applyFill="1" applyBorder="1" applyAlignment="1" applyProtection="1">
      <alignment horizontal="center" vertical="center"/>
      <protection locked="0"/>
    </xf>
    <xf numFmtId="38" fontId="11" fillId="2" borderId="19" xfId="17" applyFont="1" applyFill="1" applyBorder="1" applyAlignment="1">
      <alignment horizontal="right" vertical="center"/>
    </xf>
    <xf numFmtId="0" fontId="11" fillId="3" borderId="19" xfId="0" applyFont="1" applyFill="1" applyBorder="1" applyAlignment="1" applyProtection="1">
      <alignment horizontal="center" vertical="center"/>
      <protection locked="0"/>
    </xf>
    <xf numFmtId="10" fontId="11" fillId="2" borderId="63" xfId="15" applyNumberFormat="1" applyFont="1" applyFill="1" applyBorder="1" applyAlignment="1">
      <alignment horizontal="center" vertical="center"/>
    </xf>
    <xf numFmtId="9" fontId="11" fillId="3" borderId="19" xfId="15" applyFont="1" applyFill="1" applyBorder="1" applyAlignment="1" applyProtection="1">
      <alignment horizontal="center" vertical="center"/>
      <protection locked="0"/>
    </xf>
    <xf numFmtId="9" fontId="13" fillId="2" borderId="19" xfId="15" applyFont="1" applyFill="1" applyBorder="1" applyAlignment="1">
      <alignment horizontal="center" vertical="center"/>
    </xf>
    <xf numFmtId="9" fontId="13" fillId="2" borderId="63" xfId="15" applyFont="1" applyFill="1" applyBorder="1" applyAlignment="1">
      <alignment horizontal="center" vertical="center"/>
    </xf>
    <xf numFmtId="0" fontId="13" fillId="2" borderId="52" xfId="0" applyFont="1" applyFill="1" applyBorder="1" applyAlignment="1">
      <alignment horizontal="distributed" vertical="center"/>
    </xf>
    <xf numFmtId="38" fontId="11" fillId="2" borderId="61" xfId="0" applyNumberFormat="1" applyFont="1" applyFill="1" applyBorder="1" applyAlignment="1">
      <alignment vertical="center"/>
    </xf>
    <xf numFmtId="38" fontId="11" fillId="2" borderId="9" xfId="0" applyNumberFormat="1" applyFont="1" applyFill="1" applyBorder="1" applyAlignment="1">
      <alignment vertical="center"/>
    </xf>
    <xf numFmtId="0" fontId="13" fillId="2" borderId="64" xfId="0" applyFont="1" applyFill="1" applyBorder="1" applyAlignment="1">
      <alignment horizontal="distributed" vertical="center"/>
    </xf>
    <xf numFmtId="9" fontId="13" fillId="3" borderId="65" xfId="15" applyFont="1" applyFill="1" applyBorder="1" applyAlignment="1" applyProtection="1">
      <alignment horizontal="left" vertical="center"/>
      <protection locked="0"/>
    </xf>
    <xf numFmtId="9" fontId="13" fillId="3" borderId="66" xfId="15" applyFont="1" applyFill="1" applyBorder="1" applyAlignment="1" applyProtection="1">
      <alignment horizontal="left" vertical="center"/>
      <protection locked="0"/>
    </xf>
    <xf numFmtId="9" fontId="13" fillId="3" borderId="55" xfId="15" applyFont="1" applyFill="1" applyBorder="1" applyAlignment="1" applyProtection="1">
      <alignment horizontal="left" vertical="center"/>
      <protection locked="0"/>
    </xf>
    <xf numFmtId="9" fontId="13" fillId="2" borderId="0" xfId="15" applyFont="1" applyFill="1" applyBorder="1" applyAlignment="1" applyProtection="1">
      <alignment horizontal="left" vertical="center"/>
      <protection locked="0"/>
    </xf>
    <xf numFmtId="0" fontId="13" fillId="2" borderId="0" xfId="0" applyFont="1" applyFill="1" applyBorder="1" applyAlignment="1">
      <alignment horizontal="left" vertical="top"/>
    </xf>
    <xf numFmtId="38" fontId="11" fillId="2" borderId="0" xfId="0" applyNumberFormat="1" applyFont="1" applyFill="1" applyBorder="1" applyAlignment="1">
      <alignment/>
    </xf>
    <xf numFmtId="10" fontId="11" fillId="2" borderId="0" xfId="0" applyNumberFormat="1" applyFont="1" applyFill="1" applyAlignment="1">
      <alignment/>
    </xf>
    <xf numFmtId="0" fontId="13" fillId="6" borderId="9" xfId="0" applyFont="1" applyFill="1" applyBorder="1" applyAlignment="1">
      <alignment horizontal="left" vertical="top"/>
    </xf>
    <xf numFmtId="10" fontId="13" fillId="6" borderId="9" xfId="15" applyNumberFormat="1" applyFont="1" applyFill="1" applyBorder="1" applyAlignment="1">
      <alignment vertical="center"/>
    </xf>
    <xf numFmtId="179" fontId="13" fillId="6" borderId="9" xfId="15" applyNumberFormat="1" applyFont="1" applyFill="1" applyBorder="1" applyAlignment="1" applyProtection="1">
      <alignment vertical="center"/>
      <protection locked="0"/>
    </xf>
    <xf numFmtId="179" fontId="11" fillId="6" borderId="9" xfId="15" applyNumberFormat="1" applyFont="1" applyFill="1" applyBorder="1" applyAlignment="1" applyProtection="1">
      <alignment vertical="center"/>
      <protection locked="0"/>
    </xf>
    <xf numFmtId="0" fontId="13" fillId="2" borderId="50" xfId="0" applyFont="1" applyFill="1" applyBorder="1" applyAlignment="1">
      <alignment horizontal="left" vertical="center"/>
    </xf>
    <xf numFmtId="38" fontId="13" fillId="2" borderId="59" xfId="17" applyFont="1" applyFill="1" applyBorder="1" applyAlignment="1">
      <alignment vertical="center"/>
    </xf>
    <xf numFmtId="0" fontId="13" fillId="2" borderId="52" xfId="0" applyFont="1" applyFill="1" applyBorder="1" applyAlignment="1">
      <alignment horizontal="left" vertical="center"/>
    </xf>
    <xf numFmtId="38" fontId="13" fillId="2" borderId="63" xfId="17" applyFont="1" applyFill="1" applyBorder="1" applyAlignment="1">
      <alignment vertical="center"/>
    </xf>
    <xf numFmtId="38" fontId="12" fillId="2" borderId="0" xfId="17" applyFont="1" applyFill="1" applyBorder="1" applyAlignment="1">
      <alignment vertical="center"/>
    </xf>
    <xf numFmtId="177" fontId="13" fillId="2" borderId="63" xfId="15" applyNumberFormat="1" applyFont="1" applyFill="1" applyBorder="1" applyAlignment="1">
      <alignment vertical="center"/>
    </xf>
    <xf numFmtId="38" fontId="13" fillId="3" borderId="18" xfId="17" applyFont="1" applyFill="1" applyBorder="1" applyAlignment="1" applyProtection="1">
      <alignment vertical="center"/>
      <protection locked="0"/>
    </xf>
    <xf numFmtId="38" fontId="13" fillId="3" borderId="18" xfId="17" applyFont="1" applyFill="1" applyBorder="1" applyAlignment="1">
      <alignment vertical="center"/>
    </xf>
    <xf numFmtId="38" fontId="11" fillId="3" borderId="18" xfId="0" applyNumberFormat="1" applyFont="1" applyFill="1" applyBorder="1" applyAlignment="1">
      <alignment/>
    </xf>
    <xf numFmtId="10" fontId="11" fillId="3" borderId="18" xfId="0" applyNumberFormat="1" applyFont="1" applyFill="1" applyBorder="1" applyAlignment="1">
      <alignment/>
    </xf>
    <xf numFmtId="0" fontId="11" fillId="3" borderId="19" xfId="0" applyFont="1" applyFill="1" applyBorder="1" applyAlignment="1">
      <alignment/>
    </xf>
    <xf numFmtId="10" fontId="11" fillId="2" borderId="0" xfId="0" applyNumberFormat="1" applyFont="1" applyFill="1" applyBorder="1" applyAlignment="1">
      <alignment/>
    </xf>
    <xf numFmtId="9" fontId="12" fillId="3" borderId="63" xfId="15" applyFont="1" applyFill="1" applyBorder="1" applyAlignment="1" applyProtection="1">
      <alignment horizontal="center" vertical="center"/>
      <protection locked="0"/>
    </xf>
    <xf numFmtId="0" fontId="11" fillId="3" borderId="18" xfId="0" applyFont="1" applyFill="1" applyBorder="1" applyAlignment="1" applyProtection="1">
      <alignment vertical="center"/>
      <protection locked="0"/>
    </xf>
    <xf numFmtId="0" fontId="13" fillId="2" borderId="54" xfId="0" applyFont="1" applyFill="1" applyBorder="1" applyAlignment="1">
      <alignment horizontal="left" vertical="center"/>
    </xf>
    <xf numFmtId="38" fontId="13" fillId="2" borderId="65" xfId="17" applyFont="1" applyFill="1" applyBorder="1" applyAlignment="1">
      <alignment vertical="center"/>
    </xf>
    <xf numFmtId="0" fontId="13" fillId="2" borderId="0" xfId="0" applyFont="1" applyFill="1" applyBorder="1" applyAlignment="1">
      <alignment horizontal="distributed" vertical="center"/>
    </xf>
    <xf numFmtId="38" fontId="13" fillId="2" borderId="0" xfId="17" applyFont="1" applyFill="1" applyAlignment="1">
      <alignment/>
    </xf>
    <xf numFmtId="0" fontId="11" fillId="2" borderId="50" xfId="0" applyFont="1" applyFill="1" applyBorder="1" applyAlignment="1">
      <alignment horizontal="distributed" vertical="center"/>
    </xf>
    <xf numFmtId="0" fontId="11" fillId="2" borderId="70" xfId="0" applyFont="1" applyFill="1" applyBorder="1" applyAlignment="1" applyProtection="1">
      <alignment horizontal="center" vertical="center"/>
      <protection locked="0"/>
    </xf>
    <xf numFmtId="0" fontId="11" fillId="2" borderId="52" xfId="0" applyFont="1" applyFill="1" applyBorder="1" applyAlignment="1">
      <alignment horizontal="distributed" vertical="center"/>
    </xf>
    <xf numFmtId="38" fontId="11" fillId="2" borderId="17" xfId="0" applyNumberFormat="1" applyFont="1" applyFill="1" applyBorder="1" applyAlignment="1" applyProtection="1">
      <alignment horizontal="right" vertical="center"/>
      <protection locked="0"/>
    </xf>
    <xf numFmtId="9" fontId="11" fillId="2" borderId="17" xfId="15" applyFont="1" applyFill="1" applyBorder="1" applyAlignment="1" applyProtection="1">
      <alignment horizontal="center" vertical="center"/>
      <protection locked="0"/>
    </xf>
    <xf numFmtId="9" fontId="11" fillId="2" borderId="17" xfId="15" applyFont="1" applyFill="1" applyBorder="1" applyAlignment="1">
      <alignment horizontal="center" vertical="center"/>
    </xf>
    <xf numFmtId="0" fontId="11" fillId="2" borderId="71" xfId="0" applyFont="1" applyFill="1" applyBorder="1" applyAlignment="1">
      <alignment horizontal="distributed" vertical="center"/>
    </xf>
    <xf numFmtId="38" fontId="11" fillId="2" borderId="72" xfId="17" applyFont="1" applyFill="1" applyBorder="1" applyAlignment="1">
      <alignment vertical="center"/>
    </xf>
    <xf numFmtId="38" fontId="11" fillId="2" borderId="70" xfId="17" applyFont="1" applyFill="1" applyBorder="1" applyAlignment="1">
      <alignment horizontal="right" vertical="center"/>
    </xf>
    <xf numFmtId="0" fontId="11" fillId="2" borderId="73" xfId="0" applyFont="1" applyFill="1" applyBorder="1" applyAlignment="1">
      <alignment horizontal="distributed" vertical="center"/>
    </xf>
    <xf numFmtId="9" fontId="11" fillId="2" borderId="34" xfId="15" applyFont="1" applyFill="1" applyBorder="1" applyAlignment="1">
      <alignment horizontal="center" vertical="center"/>
    </xf>
    <xf numFmtId="9" fontId="12" fillId="2" borderId="34" xfId="15" applyFont="1" applyFill="1" applyBorder="1" applyAlignment="1">
      <alignment horizontal="center" vertical="center"/>
    </xf>
    <xf numFmtId="9" fontId="12" fillId="2" borderId="63" xfId="15" applyFont="1" applyFill="1" applyBorder="1" applyAlignment="1">
      <alignment horizontal="center" vertical="center"/>
    </xf>
    <xf numFmtId="0" fontId="11" fillId="2" borderId="74" xfId="0" applyFont="1" applyFill="1" applyBorder="1" applyAlignment="1">
      <alignment horizontal="distributed" vertical="center"/>
    </xf>
    <xf numFmtId="38" fontId="11" fillId="2" borderId="41" xfId="17" applyFont="1" applyFill="1" applyBorder="1" applyAlignment="1">
      <alignment horizontal="right" vertical="center"/>
    </xf>
    <xf numFmtId="0" fontId="11" fillId="2" borderId="54" xfId="0" applyFont="1" applyFill="1" applyBorder="1" applyAlignment="1">
      <alignment horizontal="distributed" vertical="center"/>
    </xf>
    <xf numFmtId="38" fontId="11" fillId="2" borderId="56" xfId="17" applyFont="1" applyFill="1" applyBorder="1" applyAlignment="1">
      <alignment horizontal="right" vertical="center"/>
    </xf>
    <xf numFmtId="0" fontId="24" fillId="2" borderId="0" xfId="0" applyFont="1" applyFill="1" applyAlignment="1">
      <alignment horizontal="center" vertical="center"/>
    </xf>
    <xf numFmtId="0" fontId="11" fillId="2" borderId="0" xfId="0" applyFont="1" applyFill="1" applyBorder="1" applyAlignment="1">
      <alignment horizontal="distributed" vertical="center"/>
    </xf>
    <xf numFmtId="10" fontId="11" fillId="2" borderId="9" xfId="0" applyNumberFormat="1" applyFont="1" applyFill="1" applyBorder="1" applyAlignment="1">
      <alignment horizontal="distributed" vertical="center"/>
    </xf>
    <xf numFmtId="10" fontId="11" fillId="2" borderId="9" xfId="15" applyNumberFormat="1" applyFont="1" applyFill="1" applyBorder="1" applyAlignment="1">
      <alignment horizontal="center"/>
    </xf>
    <xf numFmtId="10" fontId="11" fillId="2" borderId="0" xfId="0" applyNumberFormat="1" applyFont="1" applyFill="1" applyBorder="1" applyAlignment="1">
      <alignment horizontal="distributed" vertical="center"/>
    </xf>
    <xf numFmtId="10" fontId="11" fillId="2" borderId="0" xfId="15" applyNumberFormat="1" applyFont="1" applyFill="1" applyBorder="1" applyAlignment="1">
      <alignment horizontal="center"/>
    </xf>
    <xf numFmtId="38" fontId="11" fillId="2" borderId="9" xfId="17" applyFont="1" applyFill="1" applyBorder="1" applyAlignment="1">
      <alignment/>
    </xf>
    <xf numFmtId="10" fontId="11" fillId="2" borderId="9" xfId="15" applyNumberFormat="1" applyFont="1" applyFill="1" applyBorder="1" applyAlignment="1">
      <alignment/>
    </xf>
    <xf numFmtId="38" fontId="11" fillId="2" borderId="18" xfId="17" applyFont="1" applyFill="1" applyBorder="1" applyAlignment="1">
      <alignment/>
    </xf>
    <xf numFmtId="0" fontId="11" fillId="2" borderId="20" xfId="0" applyFont="1" applyFill="1" applyBorder="1" applyAlignment="1">
      <alignment horizontal="distributed" vertical="center"/>
    </xf>
    <xf numFmtId="38" fontId="11" fillId="2" borderId="20" xfId="0" applyNumberFormat="1" applyFont="1" applyFill="1" applyBorder="1" applyAlignment="1">
      <alignment/>
    </xf>
    <xf numFmtId="38" fontId="11" fillId="2" borderId="9" xfId="17" applyNumberFormat="1" applyFont="1" applyFill="1" applyBorder="1" applyAlignment="1">
      <alignment/>
    </xf>
    <xf numFmtId="38" fontId="11" fillId="2" borderId="0" xfId="17" applyFont="1" applyFill="1" applyBorder="1" applyAlignment="1">
      <alignment/>
    </xf>
    <xf numFmtId="38" fontId="11" fillId="0" borderId="0" xfId="17" applyFont="1" applyFill="1" applyBorder="1" applyAlignment="1">
      <alignment/>
    </xf>
    <xf numFmtId="0" fontId="11" fillId="2" borderId="0" xfId="0" applyFont="1" applyFill="1" applyBorder="1" applyAlignment="1">
      <alignment horizontal="distributed" vertical="center"/>
    </xf>
    <xf numFmtId="40" fontId="11" fillId="2" borderId="9" xfId="0" applyNumberFormat="1" applyFont="1" applyFill="1" applyBorder="1" applyAlignment="1">
      <alignment/>
    </xf>
    <xf numFmtId="40" fontId="11" fillId="2" borderId="17" xfId="0" applyNumberFormat="1" applyFont="1" applyFill="1" applyBorder="1" applyAlignment="1">
      <alignment/>
    </xf>
    <xf numFmtId="0" fontId="11" fillId="2" borderId="9" xfId="0" applyFont="1" applyFill="1" applyBorder="1" applyAlignment="1">
      <alignment/>
    </xf>
    <xf numFmtId="0" fontId="11" fillId="2" borderId="9" xfId="0" applyFont="1" applyFill="1" applyBorder="1" applyAlignment="1">
      <alignment horizontal="left"/>
    </xf>
    <xf numFmtId="9" fontId="11" fillId="2" borderId="53" xfId="15" applyFont="1" applyFill="1" applyBorder="1" applyAlignment="1">
      <alignment/>
    </xf>
    <xf numFmtId="9" fontId="11" fillId="2" borderId="9" xfId="15" applyFont="1" applyFill="1" applyBorder="1" applyAlignment="1">
      <alignment/>
    </xf>
    <xf numFmtId="38" fontId="11" fillId="2" borderId="9" xfId="17" applyFont="1" applyFill="1" applyBorder="1" applyAlignment="1">
      <alignment shrinkToFit="1"/>
    </xf>
    <xf numFmtId="0" fontId="11" fillId="2" borderId="53" xfId="0" applyFont="1" applyFill="1" applyBorder="1" applyAlignment="1">
      <alignment/>
    </xf>
    <xf numFmtId="10" fontId="11" fillId="2" borderId="0" xfId="15" applyNumberFormat="1" applyFont="1" applyFill="1" applyBorder="1" applyAlignment="1">
      <alignment/>
    </xf>
    <xf numFmtId="176" fontId="11" fillId="2" borderId="9" xfId="17" applyNumberFormat="1" applyFont="1" applyFill="1" applyBorder="1" applyAlignment="1">
      <alignment vertical="center"/>
    </xf>
    <xf numFmtId="0" fontId="11" fillId="2" borderId="75" xfId="0" applyFont="1" applyFill="1" applyBorder="1" applyAlignment="1">
      <alignment horizontal="distributed" vertical="center"/>
    </xf>
    <xf numFmtId="176" fontId="11" fillId="2" borderId="36" xfId="17" applyNumberFormat="1" applyFont="1" applyFill="1" applyBorder="1" applyAlignment="1">
      <alignment vertical="center"/>
    </xf>
    <xf numFmtId="0" fontId="11" fillId="2" borderId="64" xfId="0" applyFont="1" applyFill="1" applyBorder="1" applyAlignment="1">
      <alignment horizontal="center" vertical="center"/>
    </xf>
    <xf numFmtId="38" fontId="11" fillId="2" borderId="55" xfId="17" applyFont="1" applyFill="1" applyBorder="1" applyAlignment="1">
      <alignment vertical="center"/>
    </xf>
    <xf numFmtId="176" fontId="11" fillId="2" borderId="55" xfId="17" applyNumberFormat="1" applyFont="1" applyFill="1" applyBorder="1" applyAlignment="1">
      <alignment vertical="center"/>
    </xf>
    <xf numFmtId="0" fontId="25" fillId="0" borderId="0" xfId="0" applyFont="1" applyAlignment="1">
      <alignment/>
    </xf>
    <xf numFmtId="0" fontId="25" fillId="0" borderId="0" xfId="0" applyFont="1" applyBorder="1" applyAlignment="1">
      <alignment horizontal="center" vertical="center"/>
    </xf>
    <xf numFmtId="0" fontId="26" fillId="0" borderId="0" xfId="0" applyFont="1" applyBorder="1" applyAlignment="1">
      <alignment horizontal="center" vertical="center"/>
    </xf>
    <xf numFmtId="0" fontId="25" fillId="0" borderId="0" xfId="0" applyFont="1" applyBorder="1" applyAlignment="1">
      <alignment horizontal="center"/>
    </xf>
    <xf numFmtId="58" fontId="27" fillId="0" borderId="0" xfId="0" applyNumberFormat="1" applyFont="1" applyBorder="1" applyAlignment="1">
      <alignment horizontal="left" vertical="center" indent="4"/>
    </xf>
    <xf numFmtId="0" fontId="27" fillId="0" borderId="0" xfId="0" applyFont="1" applyBorder="1" applyAlignment="1">
      <alignment horizontal="center" vertical="center"/>
    </xf>
    <xf numFmtId="58" fontId="25" fillId="0" borderId="0" xfId="0" applyNumberFormat="1" applyFont="1" applyBorder="1" applyAlignment="1">
      <alignment horizontal="center" vertical="center"/>
    </xf>
    <xf numFmtId="0" fontId="25" fillId="0" borderId="0" xfId="0" applyFont="1" applyBorder="1" applyAlignment="1">
      <alignment horizontal="distributed" vertical="center"/>
    </xf>
    <xf numFmtId="0" fontId="28" fillId="0" borderId="0" xfId="0" applyFont="1" applyBorder="1" applyAlignment="1">
      <alignment horizontal="left" indent="2"/>
    </xf>
    <xf numFmtId="0" fontId="26" fillId="0" borderId="0" xfId="0" applyFont="1" applyBorder="1" applyAlignment="1">
      <alignment horizontal="left" indent="2"/>
    </xf>
    <xf numFmtId="0" fontId="29" fillId="0" borderId="0" xfId="0" applyFont="1" applyBorder="1" applyAlignment="1">
      <alignment horizontal="left" indent="2"/>
    </xf>
    <xf numFmtId="0" fontId="25" fillId="0" borderId="0" xfId="0" applyFont="1" applyBorder="1" applyAlignment="1">
      <alignment/>
    </xf>
    <xf numFmtId="0" fontId="29" fillId="0" borderId="0" xfId="0" applyFont="1" applyBorder="1" applyAlignment="1">
      <alignment horizontal="distributed" vertical="center"/>
    </xf>
    <xf numFmtId="176" fontId="25" fillId="0" borderId="0" xfId="0" applyNumberFormat="1" applyFont="1" applyAlignment="1">
      <alignment/>
    </xf>
    <xf numFmtId="10" fontId="25" fillId="0" borderId="0" xfId="0" applyNumberFormat="1" applyFont="1" applyAlignment="1">
      <alignment/>
    </xf>
    <xf numFmtId="0" fontId="25" fillId="0" borderId="0" xfId="0" applyFont="1" applyBorder="1" applyAlignment="1">
      <alignment vertical="top" wrapText="1"/>
    </xf>
    <xf numFmtId="0" fontId="26" fillId="0" borderId="0" xfId="0" applyFont="1" applyAlignment="1">
      <alignment horizontal="center" vertical="center"/>
    </xf>
    <xf numFmtId="0" fontId="25" fillId="0" borderId="0" xfId="0" applyFont="1" applyBorder="1" applyAlignment="1">
      <alignment horizontal="center" vertical="center"/>
    </xf>
    <xf numFmtId="206" fontId="26" fillId="0" borderId="0" xfId="0" applyNumberFormat="1" applyFont="1" applyBorder="1" applyAlignment="1" applyProtection="1">
      <alignment horizontal="center" vertical="center"/>
      <protection locked="0"/>
    </xf>
    <xf numFmtId="0" fontId="8" fillId="0" borderId="76" xfId="0" applyNumberFormat="1" applyFont="1" applyBorder="1" applyAlignment="1" applyProtection="1">
      <alignment horizontal="center" vertical="center"/>
      <protection locked="0"/>
    </xf>
    <xf numFmtId="206" fontId="8" fillId="0" borderId="77" xfId="0" applyNumberFormat="1" applyFont="1" applyBorder="1" applyAlignment="1" applyProtection="1">
      <alignment horizontal="center" vertical="center"/>
      <protection locked="0"/>
    </xf>
    <xf numFmtId="183" fontId="8" fillId="0" borderId="0" xfId="0" applyNumberFormat="1" applyFont="1" applyBorder="1" applyAlignment="1" applyProtection="1">
      <alignment horizontal="center" vertical="center"/>
      <protection locked="0"/>
    </xf>
    <xf numFmtId="0" fontId="8" fillId="0" borderId="78" xfId="0" applyNumberFormat="1" applyFont="1" applyBorder="1" applyAlignment="1" applyProtection="1">
      <alignment horizontal="center" vertical="center"/>
      <protection locked="0"/>
    </xf>
    <xf numFmtId="206" fontId="8" fillId="0" borderId="79" xfId="0" applyNumberFormat="1" applyFont="1" applyBorder="1" applyAlignment="1" applyProtection="1">
      <alignment horizontal="center" vertical="center"/>
      <protection locked="0"/>
    </xf>
    <xf numFmtId="0" fontId="8" fillId="0" borderId="0" xfId="0" applyFont="1" applyAlignment="1">
      <alignment horizontal="left" vertical="center"/>
    </xf>
    <xf numFmtId="206" fontId="8" fillId="0" borderId="0" xfId="0" applyNumberFormat="1" applyFont="1" applyBorder="1" applyAlignment="1" applyProtection="1">
      <alignment horizontal="right" vertical="center"/>
      <protection locked="0"/>
    </xf>
    <xf numFmtId="206" fontId="8" fillId="0" borderId="0" xfId="0" applyNumberFormat="1" applyFont="1" applyBorder="1" applyAlignment="1" applyProtection="1">
      <alignment horizontal="center" vertical="center"/>
      <protection locked="0"/>
    </xf>
    <xf numFmtId="38" fontId="25" fillId="0" borderId="0" xfId="0" applyNumberFormat="1" applyFont="1" applyAlignment="1">
      <alignment vertical="center"/>
    </xf>
    <xf numFmtId="6" fontId="25" fillId="0" borderId="0" xfId="17" applyNumberFormat="1" applyFont="1" applyBorder="1" applyAlignment="1">
      <alignment horizontal="right" vertical="center"/>
    </xf>
    <xf numFmtId="0" fontId="8" fillId="0" borderId="0" xfId="0" applyFont="1" applyAlignment="1">
      <alignment horizontal="left" vertical="center" indent="1"/>
    </xf>
    <xf numFmtId="0" fontId="8" fillId="0" borderId="0" xfId="0" applyNumberFormat="1" applyFont="1" applyBorder="1" applyAlignment="1" applyProtection="1">
      <alignment horizontal="left" vertical="center"/>
      <protection locked="0"/>
    </xf>
    <xf numFmtId="0" fontId="8" fillId="0" borderId="0" xfId="0" applyNumberFormat="1" applyFont="1" applyBorder="1" applyAlignment="1" applyProtection="1">
      <alignment horizontal="center" vertical="center"/>
      <protection locked="0"/>
    </xf>
    <xf numFmtId="0" fontId="8" fillId="0" borderId="0" xfId="0" applyFont="1" applyAlignment="1">
      <alignment horizontal="left"/>
    </xf>
    <xf numFmtId="6" fontId="8" fillId="0" borderId="0" xfId="17" applyNumberFormat="1" applyFont="1" applyBorder="1" applyAlignment="1">
      <alignment horizontal="right"/>
    </xf>
    <xf numFmtId="0" fontId="8" fillId="0" borderId="0" xfId="0" applyFont="1" applyAlignment="1">
      <alignment/>
    </xf>
    <xf numFmtId="0" fontId="8" fillId="0" borderId="0" xfId="0" applyFont="1" applyBorder="1" applyAlignment="1">
      <alignment/>
    </xf>
    <xf numFmtId="0" fontId="8" fillId="0" borderId="0" xfId="0" applyFont="1" applyAlignment="1">
      <alignment horizontal="left" indent="1"/>
    </xf>
    <xf numFmtId="0" fontId="8" fillId="0" borderId="0" xfId="0" applyFont="1" applyAlignment="1">
      <alignment horizontal="left" indent="2"/>
    </xf>
    <xf numFmtId="0" fontId="31" fillId="2" borderId="0" xfId="0" applyFont="1" applyFill="1" applyAlignment="1">
      <alignment/>
    </xf>
    <xf numFmtId="0" fontId="25" fillId="2" borderId="0" xfId="0" applyFont="1" applyFill="1" applyAlignment="1">
      <alignment/>
    </xf>
    <xf numFmtId="0" fontId="25" fillId="2" borderId="9" xfId="0" applyFont="1" applyFill="1" applyBorder="1" applyAlignment="1">
      <alignment/>
    </xf>
    <xf numFmtId="0" fontId="25" fillId="2" borderId="9" xfId="0" applyFont="1" applyFill="1" applyBorder="1" applyAlignment="1">
      <alignment horizontal="center"/>
    </xf>
    <xf numFmtId="0" fontId="27" fillId="2" borderId="0" xfId="0" applyFont="1" applyFill="1" applyAlignment="1">
      <alignment horizontal="left"/>
    </xf>
    <xf numFmtId="0" fontId="8" fillId="0" borderId="0" xfId="0" applyFont="1" applyAlignment="1">
      <alignment/>
    </xf>
    <xf numFmtId="0" fontId="8" fillId="0" borderId="0" xfId="0" applyFont="1" applyAlignment="1">
      <alignment vertical="center"/>
    </xf>
    <xf numFmtId="0" fontId="8" fillId="0" borderId="41" xfId="0" applyFont="1" applyBorder="1" applyAlignment="1">
      <alignment horizontal="center"/>
    </xf>
    <xf numFmtId="0" fontId="8" fillId="0" borderId="41" xfId="0" applyFont="1" applyBorder="1" applyAlignment="1">
      <alignment/>
    </xf>
    <xf numFmtId="0" fontId="8" fillId="0" borderId="34" xfId="0" applyFont="1" applyBorder="1" applyAlignment="1">
      <alignment/>
    </xf>
    <xf numFmtId="0" fontId="8" fillId="0" borderId="0" xfId="0" applyFont="1" applyAlignment="1">
      <alignment horizontal="center"/>
    </xf>
    <xf numFmtId="49" fontId="5" fillId="0" borderId="0" xfId="0" applyNumberFormat="1" applyFont="1" applyAlignment="1">
      <alignment horizontal="right" vertical="center"/>
    </xf>
    <xf numFmtId="0" fontId="5" fillId="0" borderId="0" xfId="0" applyFont="1" applyAlignment="1">
      <alignment horizontal="distributed" vertical="center"/>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Fill="1" applyAlignment="1">
      <alignment vertical="center"/>
    </xf>
    <xf numFmtId="0" fontId="5" fillId="0" borderId="0" xfId="0" applyFont="1" applyAlignment="1">
      <alignment/>
    </xf>
    <xf numFmtId="0" fontId="5" fillId="0" borderId="76" xfId="0" applyFont="1" applyBorder="1" applyAlignment="1">
      <alignment horizontal="center" vertical="center"/>
    </xf>
    <xf numFmtId="0" fontId="5" fillId="0" borderId="80" xfId="0" applyFont="1" applyBorder="1" applyAlignment="1">
      <alignment horizontal="center" vertical="center"/>
    </xf>
    <xf numFmtId="0" fontId="5" fillId="0" borderId="81" xfId="0" applyFont="1" applyFill="1" applyBorder="1" applyAlignment="1">
      <alignment horizontal="center" vertical="center"/>
    </xf>
    <xf numFmtId="196" fontId="5" fillId="0" borderId="82" xfId="0" applyNumberFormat="1" applyFont="1" applyBorder="1" applyAlignment="1">
      <alignment horizontal="center" vertical="center"/>
    </xf>
    <xf numFmtId="196" fontId="5" fillId="0" borderId="83" xfId="0" applyNumberFormat="1" applyFont="1" applyBorder="1" applyAlignment="1">
      <alignment horizontal="center" vertical="center"/>
    </xf>
    <xf numFmtId="196" fontId="5" fillId="0" borderId="84" xfId="0" applyNumberFormat="1" applyFont="1" applyBorder="1" applyAlignment="1">
      <alignment horizontal="center" vertical="center"/>
    </xf>
    <xf numFmtId="0" fontId="5" fillId="0" borderId="82" xfId="0" applyFont="1" applyBorder="1" applyAlignment="1">
      <alignment horizontal="center" vertical="center"/>
    </xf>
    <xf numFmtId="0" fontId="5" fillId="0" borderId="42" xfId="0" applyFont="1" applyBorder="1" applyAlignment="1">
      <alignment horizontal="left" vertical="center" indent="2"/>
    </xf>
    <xf numFmtId="0" fontId="5" fillId="0" borderId="0" xfId="0" applyFont="1" applyBorder="1" applyAlignment="1">
      <alignment/>
    </xf>
    <xf numFmtId="0" fontId="5" fillId="0" borderId="9" xfId="0" applyFont="1" applyBorder="1" applyAlignment="1">
      <alignment horizontal="center" vertical="center"/>
    </xf>
    <xf numFmtId="0" fontId="5" fillId="0" borderId="0" xfId="0" applyFont="1" applyBorder="1" applyAlignment="1">
      <alignment horizontal="left" vertical="center" indent="2"/>
    </xf>
    <xf numFmtId="0" fontId="5" fillId="0" borderId="39" xfId="0" applyFont="1" applyBorder="1" applyAlignment="1">
      <alignment horizontal="center" vertical="center"/>
    </xf>
    <xf numFmtId="0" fontId="5" fillId="0" borderId="18" xfId="0" applyFont="1" applyBorder="1" applyAlignment="1">
      <alignment horizontal="left" vertical="center" indent="2"/>
    </xf>
    <xf numFmtId="0" fontId="5" fillId="0" borderId="18" xfId="0" applyFont="1" applyFill="1" applyBorder="1" applyAlignment="1">
      <alignment vertical="center"/>
    </xf>
    <xf numFmtId="0" fontId="5" fillId="0" borderId="80" xfId="0" applyFont="1" applyBorder="1" applyAlignment="1">
      <alignment/>
    </xf>
    <xf numFmtId="0" fontId="6" fillId="0" borderId="85" xfId="0" applyFont="1" applyFill="1" applyBorder="1" applyAlignment="1">
      <alignment horizontal="center" vertical="center"/>
    </xf>
    <xf numFmtId="0" fontId="6" fillId="0" borderId="86" xfId="0" applyFont="1" applyFill="1" applyBorder="1" applyAlignment="1">
      <alignment horizontal="center" vertical="center"/>
    </xf>
    <xf numFmtId="0" fontId="32" fillId="0" borderId="87" xfId="0" applyFont="1" applyBorder="1" applyAlignment="1">
      <alignment horizontal="center" vertical="center" shrinkToFit="1"/>
    </xf>
    <xf numFmtId="194" fontId="32" fillId="0" borderId="87" xfId="0" applyNumberFormat="1" applyFont="1" applyBorder="1" applyAlignment="1">
      <alignment horizontal="right" vertical="center" shrinkToFit="1"/>
    </xf>
    <xf numFmtId="193" fontId="32" fillId="0" borderId="88" xfId="0" applyNumberFormat="1" applyFont="1" applyBorder="1" applyAlignment="1">
      <alignment horizontal="center" vertical="center" shrinkToFit="1"/>
    </xf>
    <xf numFmtId="0" fontId="32" fillId="0" borderId="42" xfId="0" applyFont="1" applyBorder="1" applyAlignment="1">
      <alignment horizontal="center" vertical="center" shrinkToFit="1"/>
    </xf>
    <xf numFmtId="194" fontId="32" fillId="0" borderId="42" xfId="0" applyNumberFormat="1" applyFont="1" applyBorder="1" applyAlignment="1">
      <alignment horizontal="right" vertical="center" shrinkToFit="1"/>
    </xf>
    <xf numFmtId="193" fontId="32" fillId="0" borderId="35" xfId="0" applyNumberFormat="1" applyFont="1" applyBorder="1" applyAlignment="1">
      <alignment horizontal="center" vertical="center" shrinkToFit="1"/>
    </xf>
    <xf numFmtId="0" fontId="5" fillId="0" borderId="17" xfId="0" applyFont="1" applyBorder="1" applyAlignment="1">
      <alignment horizontal="center" vertical="center"/>
    </xf>
    <xf numFmtId="0" fontId="5" fillId="0" borderId="89" xfId="0" applyFont="1" applyBorder="1" applyAlignment="1">
      <alignment horizontal="center" vertical="center"/>
    </xf>
    <xf numFmtId="0" fontId="6" fillId="0" borderId="89" xfId="0" applyFont="1" applyBorder="1" applyAlignment="1">
      <alignment horizontal="center" vertical="center"/>
    </xf>
    <xf numFmtId="0" fontId="6" fillId="0" borderId="90" xfId="0" applyFont="1" applyBorder="1" applyAlignment="1">
      <alignment horizontal="center" vertical="center"/>
    </xf>
    <xf numFmtId="0" fontId="5" fillId="0" borderId="91" xfId="0" applyFont="1" applyBorder="1" applyAlignment="1">
      <alignment horizontal="center" vertical="center"/>
    </xf>
    <xf numFmtId="57" fontId="32" fillId="0" borderId="80" xfId="0" applyNumberFormat="1" applyFont="1" applyBorder="1" applyAlignment="1">
      <alignment horizontal="center" vertical="center"/>
    </xf>
    <xf numFmtId="40" fontId="32" fillId="0" borderId="80" xfId="17" applyNumberFormat="1" applyFont="1" applyBorder="1" applyAlignment="1">
      <alignment horizontal="right" vertical="center"/>
    </xf>
    <xf numFmtId="176" fontId="32" fillId="0" borderId="80" xfId="17" applyNumberFormat="1" applyFont="1" applyBorder="1" applyAlignment="1">
      <alignment horizontal="right" vertical="center" shrinkToFit="1"/>
    </xf>
    <xf numFmtId="57" fontId="32" fillId="0" borderId="83" xfId="0" applyNumberFormat="1" applyFont="1" applyBorder="1" applyAlignment="1">
      <alignment horizontal="center" vertical="center"/>
    </xf>
    <xf numFmtId="176" fontId="32" fillId="0" borderId="83" xfId="17" applyNumberFormat="1" applyFont="1" applyBorder="1" applyAlignment="1">
      <alignment horizontal="right" vertical="center" shrinkToFit="1"/>
    </xf>
    <xf numFmtId="0" fontId="32" fillId="0" borderId="41" xfId="0" applyFont="1" applyBorder="1" applyAlignment="1">
      <alignment horizontal="left" vertical="top" indent="2"/>
    </xf>
    <xf numFmtId="0" fontId="32" fillId="0" borderId="0" xfId="0" applyFont="1" applyBorder="1" applyAlignment="1">
      <alignment horizontal="left" vertical="top" indent="1"/>
    </xf>
    <xf numFmtId="0" fontId="32" fillId="0" borderId="37" xfId="0" applyFont="1" applyBorder="1" applyAlignment="1">
      <alignment horizontal="left" vertical="top" indent="1"/>
    </xf>
    <xf numFmtId="0" fontId="32" fillId="0" borderId="41" xfId="0" applyFont="1" applyBorder="1" applyAlignment="1">
      <alignment horizontal="left" vertical="top" indent="1"/>
    </xf>
    <xf numFmtId="0" fontId="32" fillId="0" borderId="0" xfId="0" applyFont="1" applyBorder="1" applyAlignment="1">
      <alignment horizontal="left" vertical="center" indent="1"/>
    </xf>
    <xf numFmtId="0" fontId="32" fillId="0" borderId="37" xfId="0" applyFont="1" applyBorder="1" applyAlignment="1">
      <alignment horizontal="left" vertical="center" indent="1"/>
    </xf>
    <xf numFmtId="0" fontId="32" fillId="0" borderId="41" xfId="0" applyFont="1" applyBorder="1" applyAlignment="1">
      <alignment horizontal="left" vertical="center" indent="1"/>
    </xf>
    <xf numFmtId="0" fontId="5" fillId="0" borderId="0" xfId="0" applyFont="1" applyBorder="1" applyAlignment="1">
      <alignment horizontal="left" vertical="center" indent="1"/>
    </xf>
    <xf numFmtId="40" fontId="32" fillId="0" borderId="0" xfId="17" applyNumberFormat="1" applyFont="1" applyBorder="1" applyAlignment="1">
      <alignment horizontal="center" vertical="center"/>
    </xf>
    <xf numFmtId="40" fontId="32" fillId="0" borderId="0" xfId="0" applyNumberFormat="1" applyFont="1" applyBorder="1" applyAlignment="1">
      <alignment horizontal="left" vertical="center"/>
    </xf>
    <xf numFmtId="0" fontId="32" fillId="0" borderId="37" xfId="0" applyFont="1" applyBorder="1" applyAlignment="1">
      <alignment horizontal="left" vertical="center"/>
    </xf>
    <xf numFmtId="0" fontId="32" fillId="0" borderId="0" xfId="0" applyFont="1" applyAlignment="1">
      <alignment/>
    </xf>
    <xf numFmtId="0" fontId="32" fillId="0" borderId="0" xfId="0" applyFont="1" applyBorder="1" applyAlignment="1">
      <alignment vertical="center"/>
    </xf>
    <xf numFmtId="0" fontId="32" fillId="0" borderId="42" xfId="0" applyFont="1" applyBorder="1" applyAlignment="1">
      <alignment horizontal="center" vertical="center"/>
    </xf>
    <xf numFmtId="0" fontId="32" fillId="0" borderId="42" xfId="0" applyFont="1" applyBorder="1" applyAlignment="1">
      <alignment horizontal="right" vertical="center"/>
    </xf>
    <xf numFmtId="0" fontId="5" fillId="0" borderId="34" xfId="0" applyFont="1" applyBorder="1" applyAlignment="1">
      <alignment horizontal="center" vertical="center"/>
    </xf>
    <xf numFmtId="0" fontId="5" fillId="0" borderId="92" xfId="0" applyFont="1" applyBorder="1" applyAlignment="1">
      <alignment horizontal="center" vertical="center"/>
    </xf>
    <xf numFmtId="0" fontId="5" fillId="0" borderId="39" xfId="0" applyFont="1" applyBorder="1" applyAlignment="1">
      <alignment vertical="center"/>
    </xf>
    <xf numFmtId="0" fontId="5" fillId="0" borderId="39" xfId="0" applyFont="1" applyFill="1" applyBorder="1" applyAlignment="1">
      <alignment vertical="center"/>
    </xf>
    <xf numFmtId="0" fontId="5" fillId="0" borderId="93" xfId="0" applyFont="1" applyBorder="1" applyAlignment="1">
      <alignment horizontal="center" vertical="center"/>
    </xf>
    <xf numFmtId="0" fontId="5" fillId="0" borderId="78" xfId="0" applyFont="1" applyFill="1" applyBorder="1" applyAlignment="1">
      <alignment horizontal="center" vertical="center"/>
    </xf>
    <xf numFmtId="0" fontId="5" fillId="0" borderId="94" xfId="0" applyFont="1" applyFill="1" applyBorder="1" applyAlignment="1">
      <alignment horizontal="center" vertical="center"/>
    </xf>
    <xf numFmtId="0" fontId="5" fillId="0" borderId="76" xfId="0" applyFont="1" applyFill="1" applyBorder="1" applyAlignment="1">
      <alignment horizontal="center" vertical="center"/>
    </xf>
    <xf numFmtId="0" fontId="5" fillId="0" borderId="78" xfId="0" applyFont="1" applyBorder="1" applyAlignment="1">
      <alignment horizontal="center" vertical="center"/>
    </xf>
    <xf numFmtId="0" fontId="5" fillId="0" borderId="0" xfId="0" applyFont="1" applyFill="1" applyBorder="1" applyAlignment="1">
      <alignment horizontal="left" vertical="center"/>
    </xf>
    <xf numFmtId="49" fontId="8" fillId="0" borderId="0" xfId="0" applyNumberFormat="1" applyFont="1" applyAlignment="1">
      <alignment/>
    </xf>
    <xf numFmtId="0" fontId="25" fillId="0" borderId="0" xfId="0" applyFont="1" applyAlignment="1">
      <alignment/>
    </xf>
    <xf numFmtId="0" fontId="25" fillId="0" borderId="0" xfId="0" applyFont="1" applyAlignment="1">
      <alignment vertical="center"/>
    </xf>
    <xf numFmtId="49" fontId="8" fillId="0" borderId="0" xfId="0" applyNumberFormat="1" applyFont="1" applyAlignment="1">
      <alignment horizontal="left"/>
    </xf>
    <xf numFmtId="208" fontId="8" fillId="0" borderId="0" xfId="0" applyNumberFormat="1" applyFont="1" applyAlignment="1">
      <alignment horizontal="right"/>
    </xf>
    <xf numFmtId="0" fontId="25" fillId="0" borderId="0" xfId="0" applyFont="1" applyAlignment="1">
      <alignment horizontal="left"/>
    </xf>
    <xf numFmtId="0" fontId="25" fillId="0" borderId="0" xfId="0" applyFont="1" applyAlignment="1">
      <alignment horizontal="center"/>
    </xf>
    <xf numFmtId="0" fontId="26" fillId="0" borderId="0" xfId="0" applyFont="1" applyAlignment="1">
      <alignment vertical="center"/>
    </xf>
    <xf numFmtId="0" fontId="8" fillId="0" borderId="0" xfId="0" applyFont="1" applyAlignment="1">
      <alignment horizontal="left" vertical="center" wrapText="1"/>
    </xf>
    <xf numFmtId="0" fontId="8" fillId="0" borderId="78" xfId="0" applyFont="1" applyBorder="1" applyAlignment="1">
      <alignment horizontal="center" vertical="center"/>
    </xf>
    <xf numFmtId="177" fontId="8" fillId="0" borderId="83" xfId="15" applyNumberFormat="1" applyFont="1" applyBorder="1" applyAlignment="1">
      <alignment horizontal="center" vertical="center"/>
    </xf>
    <xf numFmtId="38" fontId="8" fillId="0" borderId="0" xfId="0" applyNumberFormat="1" applyFont="1" applyAlignment="1">
      <alignment vertical="center"/>
    </xf>
    <xf numFmtId="0" fontId="27" fillId="0" borderId="95" xfId="0" applyFont="1" applyBorder="1" applyAlignment="1">
      <alignment horizontal="center" vertical="center" wrapText="1"/>
    </xf>
    <xf numFmtId="0" fontId="25" fillId="0" borderId="96" xfId="0" applyFont="1" applyBorder="1" applyAlignment="1">
      <alignment horizontal="center" vertical="center" wrapText="1"/>
    </xf>
    <xf numFmtId="0" fontId="25" fillId="0" borderId="90" xfId="0" applyFont="1" applyBorder="1" applyAlignment="1">
      <alignment horizontal="center" vertical="center"/>
    </xf>
    <xf numFmtId="0" fontId="8" fillId="0" borderId="76" xfId="0" applyFont="1" applyBorder="1" applyAlignment="1">
      <alignment horizontal="center" vertical="center"/>
    </xf>
    <xf numFmtId="177" fontId="8" fillId="0" borderId="97" xfId="15" applyNumberFormat="1" applyFont="1" applyBorder="1" applyAlignment="1">
      <alignment vertical="center"/>
    </xf>
    <xf numFmtId="177" fontId="8" fillId="0" borderId="97" xfId="0" applyNumberFormat="1" applyFont="1" applyBorder="1" applyAlignment="1">
      <alignment vertical="center"/>
    </xf>
    <xf numFmtId="10" fontId="8" fillId="0" borderId="80" xfId="0" applyNumberFormat="1" applyFont="1" applyBorder="1" applyAlignment="1">
      <alignment vertical="center"/>
    </xf>
    <xf numFmtId="38" fontId="8" fillId="0" borderId="0" xfId="17" applyFont="1" applyAlignment="1">
      <alignment vertical="center"/>
    </xf>
    <xf numFmtId="0" fontId="8" fillId="0" borderId="96" xfId="0" applyFont="1" applyBorder="1" applyAlignment="1">
      <alignment vertical="center"/>
    </xf>
    <xf numFmtId="0" fontId="8" fillId="0" borderId="90" xfId="0" applyFont="1" applyBorder="1" applyAlignment="1">
      <alignment vertical="center"/>
    </xf>
    <xf numFmtId="177" fontId="8" fillId="0" borderId="80" xfId="0" applyNumberFormat="1" applyFont="1" applyBorder="1" applyAlignment="1">
      <alignment vertical="center"/>
    </xf>
    <xf numFmtId="49" fontId="8" fillId="0" borderId="76" xfId="0" applyNumberFormat="1" applyFont="1" applyBorder="1" applyAlignment="1">
      <alignment horizontal="center" vertical="center"/>
    </xf>
    <xf numFmtId="38" fontId="8" fillId="0" borderId="0" xfId="0" applyNumberFormat="1" applyFont="1" applyAlignment="1">
      <alignment horizontal="left" vertical="center"/>
    </xf>
    <xf numFmtId="9" fontId="8" fillId="0" borderId="0" xfId="15" applyFont="1" applyAlignment="1">
      <alignment horizontal="center" vertical="center"/>
    </xf>
    <xf numFmtId="0" fontId="26" fillId="0" borderId="0" xfId="0" applyNumberFormat="1" applyFont="1" applyAlignment="1">
      <alignment/>
    </xf>
    <xf numFmtId="0" fontId="8" fillId="0" borderId="0" xfId="0" applyNumberFormat="1" applyFont="1" applyAlignment="1">
      <alignment/>
    </xf>
    <xf numFmtId="38" fontId="8" fillId="0" borderId="0" xfId="0" applyNumberFormat="1" applyFont="1" applyAlignment="1">
      <alignment/>
    </xf>
    <xf numFmtId="0" fontId="8" fillId="0" borderId="95" xfId="0" applyNumberFormat="1" applyFont="1" applyBorder="1" applyAlignment="1">
      <alignment horizontal="center" vertical="center" shrinkToFit="1"/>
    </xf>
    <xf numFmtId="0" fontId="8" fillId="0" borderId="95" xfId="0" applyNumberFormat="1" applyFont="1" applyBorder="1" applyAlignment="1">
      <alignment horizontal="center" vertical="center"/>
    </xf>
    <xf numFmtId="0" fontId="8" fillId="0" borderId="96" xfId="0" applyNumberFormat="1" applyFont="1" applyBorder="1" applyAlignment="1">
      <alignment horizontal="right" vertical="center"/>
    </xf>
    <xf numFmtId="0" fontId="8" fillId="0" borderId="96" xfId="0" applyNumberFormat="1" applyFont="1" applyBorder="1" applyAlignment="1">
      <alignment horizontal="center" vertical="center"/>
    </xf>
    <xf numFmtId="10" fontId="8" fillId="0" borderId="0" xfId="0" applyNumberFormat="1" applyFont="1" applyAlignment="1">
      <alignment/>
    </xf>
    <xf numFmtId="0" fontId="8" fillId="0" borderId="90" xfId="0" applyNumberFormat="1" applyFont="1" applyBorder="1" applyAlignment="1">
      <alignment horizontal="center" vertical="center"/>
    </xf>
    <xf numFmtId="0" fontId="8" fillId="0" borderId="98" xfId="0" applyNumberFormat="1" applyFont="1" applyBorder="1" applyAlignment="1">
      <alignment horizontal="center" vertical="center"/>
    </xf>
    <xf numFmtId="0" fontId="8" fillId="0" borderId="76" xfId="0" applyNumberFormat="1" applyFont="1" applyBorder="1" applyAlignment="1">
      <alignment horizontal="center" vertical="center"/>
    </xf>
    <xf numFmtId="38" fontId="8" fillId="0" borderId="80" xfId="17" applyFont="1" applyBorder="1" applyAlignment="1">
      <alignment vertical="center"/>
    </xf>
    <xf numFmtId="177" fontId="8" fillId="0" borderId="80" xfId="15" applyNumberFormat="1" applyFont="1" applyBorder="1" applyAlignment="1">
      <alignment horizontal="center" vertical="center"/>
    </xf>
    <xf numFmtId="176" fontId="8" fillId="0" borderId="80" xfId="0" applyNumberFormat="1" applyFont="1" applyBorder="1" applyAlignment="1">
      <alignment vertical="center"/>
    </xf>
    <xf numFmtId="10" fontId="8" fillId="0" borderId="81" xfId="0" applyNumberFormat="1" applyFont="1" applyBorder="1" applyAlignment="1">
      <alignment vertical="center"/>
    </xf>
    <xf numFmtId="10" fontId="8" fillId="0" borderId="81" xfId="15" applyNumberFormat="1" applyFont="1" applyBorder="1" applyAlignment="1">
      <alignment vertical="center"/>
    </xf>
    <xf numFmtId="0" fontId="8" fillId="0" borderId="78" xfId="0" applyNumberFormat="1" applyFont="1" applyBorder="1" applyAlignment="1">
      <alignment horizontal="center" vertical="center"/>
    </xf>
    <xf numFmtId="38" fontId="8" fillId="0" borderId="83" xfId="17" applyFont="1" applyBorder="1" applyAlignment="1">
      <alignment vertical="center"/>
    </xf>
    <xf numFmtId="176" fontId="8" fillId="0" borderId="83" xfId="0" applyNumberFormat="1" applyFont="1" applyBorder="1" applyAlignment="1">
      <alignment vertical="center"/>
    </xf>
    <xf numFmtId="10" fontId="8" fillId="0" borderId="84" xfId="15" applyNumberFormat="1" applyFont="1" applyBorder="1" applyAlignment="1">
      <alignment vertical="center"/>
    </xf>
    <xf numFmtId="0" fontId="8" fillId="0" borderId="93" xfId="0" applyNumberFormat="1" applyFont="1" applyBorder="1" applyAlignment="1">
      <alignment horizontal="center"/>
    </xf>
    <xf numFmtId="0" fontId="8" fillId="0" borderId="76" xfId="0" applyNumberFormat="1" applyFont="1" applyBorder="1" applyAlignment="1">
      <alignment horizontal="center"/>
    </xf>
    <xf numFmtId="177" fontId="8" fillId="0" borderId="80" xfId="0" applyNumberFormat="1" applyFont="1" applyBorder="1" applyAlignment="1">
      <alignment horizontal="center" vertical="center"/>
    </xf>
    <xf numFmtId="10" fontId="8" fillId="0" borderId="80" xfId="0" applyNumberFormat="1" applyFont="1" applyBorder="1" applyAlignment="1">
      <alignment horizontal="center" vertical="center"/>
    </xf>
    <xf numFmtId="49" fontId="8" fillId="0" borderId="78" xfId="0" applyNumberFormat="1" applyFont="1" applyBorder="1" applyAlignment="1">
      <alignment horizontal="center" vertical="center"/>
    </xf>
    <xf numFmtId="177" fontId="8" fillId="0" borderId="83" xfId="0" applyNumberFormat="1" applyFont="1" applyBorder="1" applyAlignment="1">
      <alignment horizontal="center" vertical="center"/>
    </xf>
    <xf numFmtId="38" fontId="8" fillId="0" borderId="80" xfId="0" applyNumberFormat="1" applyFont="1" applyBorder="1" applyAlignment="1">
      <alignment horizontal="center" vertical="center"/>
    </xf>
    <xf numFmtId="179" fontId="8" fillId="0" borderId="81" xfId="15" applyNumberFormat="1" applyFont="1" applyBorder="1" applyAlignment="1">
      <alignment vertical="center"/>
    </xf>
    <xf numFmtId="10" fontId="8" fillId="0" borderId="83" xfId="0" applyNumberFormat="1" applyFont="1" applyBorder="1" applyAlignment="1">
      <alignment vertical="center"/>
    </xf>
    <xf numFmtId="0" fontId="26" fillId="0" borderId="0" xfId="0" applyFont="1" applyAlignment="1">
      <alignment horizontal="left" vertical="center"/>
    </xf>
    <xf numFmtId="0" fontId="8" fillId="0" borderId="99" xfId="0" applyFont="1" applyBorder="1" applyAlignment="1">
      <alignment horizontal="distributed" vertical="center" wrapText="1"/>
    </xf>
    <xf numFmtId="0" fontId="8" fillId="0" borderId="100" xfId="0" applyFont="1" applyBorder="1" applyAlignment="1">
      <alignment horizontal="distributed" vertical="center" wrapText="1"/>
    </xf>
    <xf numFmtId="0" fontId="8" fillId="0" borderId="101" xfId="0" applyFont="1" applyBorder="1" applyAlignment="1">
      <alignment horizontal="centerContinuous" vertical="center" shrinkToFit="1"/>
    </xf>
    <xf numFmtId="0" fontId="8" fillId="0" borderId="102" xfId="0" applyFont="1" applyBorder="1" applyAlignment="1">
      <alignment horizontal="distributed" vertical="center" wrapText="1"/>
    </xf>
    <xf numFmtId="0" fontId="8" fillId="0" borderId="103" xfId="0" applyFont="1" applyBorder="1" applyAlignment="1">
      <alignment horizontal="right" vertical="center" wrapText="1"/>
    </xf>
    <xf numFmtId="0" fontId="8" fillId="0" borderId="103" xfId="0" applyFont="1" applyBorder="1" applyAlignment="1">
      <alignment horizontal="distributed" vertical="center" wrapText="1"/>
    </xf>
    <xf numFmtId="0" fontId="8" fillId="0" borderId="104" xfId="0" applyFont="1" applyBorder="1" applyAlignment="1">
      <alignment horizontal="centerContinuous" vertical="center" shrinkToFit="1"/>
    </xf>
    <xf numFmtId="0" fontId="8" fillId="0" borderId="105" xfId="0" applyFont="1" applyBorder="1" applyAlignment="1">
      <alignment horizontal="distributed" vertical="center" wrapText="1"/>
    </xf>
    <xf numFmtId="0" fontId="8" fillId="0" borderId="106" xfId="0" applyFont="1" applyBorder="1" applyAlignment="1">
      <alignment horizontal="center" vertical="center" wrapText="1"/>
    </xf>
    <xf numFmtId="0" fontId="8" fillId="0" borderId="107" xfId="0" applyFont="1" applyBorder="1" applyAlignment="1">
      <alignment horizontal="center" vertical="center" wrapText="1"/>
    </xf>
    <xf numFmtId="0" fontId="8" fillId="0" borderId="108" xfId="0" applyFont="1" applyBorder="1" applyAlignment="1">
      <alignment horizontal="center" vertical="center" wrapText="1"/>
    </xf>
    <xf numFmtId="3" fontId="8" fillId="0" borderId="109" xfId="0" applyNumberFormat="1" applyFont="1" applyBorder="1" applyAlignment="1">
      <alignment horizontal="center" vertical="center" wrapText="1"/>
    </xf>
    <xf numFmtId="209" fontId="8" fillId="0" borderId="109" xfId="0" applyNumberFormat="1" applyFont="1" applyBorder="1" applyAlignment="1">
      <alignment horizontal="center" vertical="center" wrapText="1"/>
    </xf>
    <xf numFmtId="200" fontId="8" fillId="0" borderId="109" xfId="0" applyNumberFormat="1" applyFont="1" applyBorder="1" applyAlignment="1">
      <alignment horizontal="center" vertical="center" wrapText="1"/>
    </xf>
    <xf numFmtId="2" fontId="8" fillId="0" borderId="109" xfId="0" applyNumberFormat="1" applyFont="1" applyBorder="1" applyAlignment="1">
      <alignment horizontal="center" vertical="center" wrapText="1"/>
    </xf>
    <xf numFmtId="189" fontId="8" fillId="0" borderId="110" xfId="0" applyNumberFormat="1" applyFont="1" applyBorder="1" applyAlignment="1">
      <alignment horizontal="center" vertical="center" wrapText="1"/>
    </xf>
    <xf numFmtId="0" fontId="8" fillId="0" borderId="0" xfId="0" applyFont="1" applyAlignment="1">
      <alignment horizontal="center" vertical="center"/>
    </xf>
    <xf numFmtId="49" fontId="8" fillId="0" borderId="0" xfId="0" applyNumberFormat="1" applyFont="1" applyAlignment="1">
      <alignment horizontal="left" vertical="center"/>
    </xf>
    <xf numFmtId="0" fontId="8" fillId="0" borderId="80" xfId="0" applyFont="1" applyBorder="1" applyAlignment="1">
      <alignment horizontal="center" vertical="center"/>
    </xf>
    <xf numFmtId="201" fontId="8" fillId="0" borderId="96" xfId="0" applyNumberFormat="1" applyFont="1" applyBorder="1" applyAlignment="1">
      <alignment horizontal="center"/>
    </xf>
    <xf numFmtId="0" fontId="8" fillId="0" borderId="96" xfId="0" applyFont="1" applyBorder="1" applyAlignment="1">
      <alignment horizontal="left" vertical="center"/>
    </xf>
    <xf numFmtId="38" fontId="8" fillId="0" borderId="96" xfId="0" applyNumberFormat="1" applyFont="1" applyBorder="1" applyAlignment="1">
      <alignment horizontal="center" vertical="center"/>
    </xf>
    <xf numFmtId="201" fontId="8" fillId="0" borderId="96" xfId="0" applyNumberFormat="1" applyFont="1" applyBorder="1" applyAlignment="1">
      <alignment horizontal="center" vertical="center"/>
    </xf>
    <xf numFmtId="38" fontId="8" fillId="0" borderId="96" xfId="17" applyFont="1" applyBorder="1" applyAlignment="1">
      <alignment horizontal="center" vertical="center"/>
    </xf>
    <xf numFmtId="0" fontId="8" fillId="0" borderId="90" xfId="0" applyFont="1" applyBorder="1" applyAlignment="1">
      <alignment horizontal="right" vertical="center" wrapText="1"/>
    </xf>
    <xf numFmtId="201" fontId="8" fillId="0" borderId="90" xfId="0" applyNumberFormat="1" applyFont="1" applyBorder="1" applyAlignment="1">
      <alignment horizontal="center" vertical="top"/>
    </xf>
    <xf numFmtId="0" fontId="8" fillId="0" borderId="0" xfId="0" applyFont="1" applyBorder="1" applyAlignment="1">
      <alignment horizontal="right" vertical="center" wrapText="1"/>
    </xf>
    <xf numFmtId="201" fontId="8" fillId="0" borderId="0" xfId="0" applyNumberFormat="1" applyFont="1" applyBorder="1" applyAlignment="1">
      <alignment horizontal="center" vertical="top"/>
    </xf>
    <xf numFmtId="177" fontId="8" fillId="0" borderId="0" xfId="15" applyNumberFormat="1" applyFont="1" applyBorder="1" applyAlignment="1">
      <alignment horizontal="center" vertical="center"/>
    </xf>
    <xf numFmtId="9" fontId="8" fillId="0" borderId="80" xfId="0" applyNumberFormat="1" applyFont="1" applyBorder="1" applyAlignment="1">
      <alignment horizontal="center" vertical="center"/>
    </xf>
    <xf numFmtId="9" fontId="8" fillId="0" borderId="0" xfId="0" applyNumberFormat="1" applyFont="1" applyBorder="1" applyAlignment="1">
      <alignment horizontal="center" vertical="center"/>
    </xf>
    <xf numFmtId="10" fontId="8" fillId="0" borderId="0" xfId="0" applyNumberFormat="1" applyFont="1" applyBorder="1" applyAlignment="1">
      <alignment horizontal="center" vertical="center"/>
    </xf>
    <xf numFmtId="0" fontId="8" fillId="0" borderId="99" xfId="0" applyFont="1" applyBorder="1" applyAlignment="1">
      <alignment horizontal="center" wrapText="1"/>
    </xf>
    <xf numFmtId="0" fontId="8" fillId="0" borderId="100" xfId="0" applyFont="1" applyBorder="1" applyAlignment="1">
      <alignment horizontal="center" wrapText="1"/>
    </xf>
    <xf numFmtId="0" fontId="8" fillId="0" borderId="102" xfId="0" applyFont="1" applyBorder="1" applyAlignment="1">
      <alignment horizontal="center" vertical="center" wrapText="1"/>
    </xf>
    <xf numFmtId="0" fontId="8" fillId="0" borderId="103" xfId="0" applyFont="1" applyBorder="1" applyAlignment="1">
      <alignment horizontal="right" vertical="center" wrapText="1"/>
    </xf>
    <xf numFmtId="0" fontId="8" fillId="0" borderId="103" xfId="0" applyFont="1" applyBorder="1" applyAlignment="1">
      <alignment horizontal="left" vertical="center" wrapText="1"/>
    </xf>
    <xf numFmtId="0" fontId="8" fillId="0" borderId="105" xfId="0" applyFont="1" applyBorder="1" applyAlignment="1">
      <alignment horizontal="left" vertical="center" wrapText="1"/>
    </xf>
    <xf numFmtId="202" fontId="8" fillId="0" borderId="109" xfId="0" applyNumberFormat="1" applyFont="1" applyBorder="1" applyAlignment="1">
      <alignment horizontal="center" vertical="center" wrapText="1"/>
    </xf>
    <xf numFmtId="10" fontId="8" fillId="0" borderId="109" xfId="0" applyNumberFormat="1" applyFont="1" applyBorder="1" applyAlignment="1">
      <alignment horizontal="center" vertical="center" wrapText="1"/>
    </xf>
    <xf numFmtId="0" fontId="8" fillId="0" borderId="111" xfId="0" applyFont="1" applyBorder="1" applyAlignment="1">
      <alignment horizontal="center" vertical="center" wrapText="1"/>
    </xf>
    <xf numFmtId="3" fontId="8" fillId="0" borderId="111" xfId="0" applyNumberFormat="1" applyFont="1" applyBorder="1" applyAlignment="1">
      <alignment horizontal="center" vertical="center" wrapText="1"/>
    </xf>
    <xf numFmtId="202" fontId="8" fillId="0" borderId="111" xfId="0" applyNumberFormat="1" applyFont="1" applyBorder="1" applyAlignment="1">
      <alignment horizontal="center" vertical="center" wrapText="1"/>
    </xf>
    <xf numFmtId="10" fontId="8" fillId="0" borderId="111" xfId="0" applyNumberFormat="1" applyFont="1" applyBorder="1" applyAlignment="1">
      <alignment horizontal="center" vertical="center" wrapText="1"/>
    </xf>
    <xf numFmtId="10" fontId="8" fillId="0" borderId="112" xfId="15" applyNumberFormat="1" applyFont="1" applyBorder="1" applyAlignment="1">
      <alignment horizontal="center" vertical="center" wrapText="1"/>
    </xf>
    <xf numFmtId="204" fontId="8" fillId="0" borderId="112" xfId="0" applyNumberFormat="1" applyFont="1" applyFill="1" applyBorder="1" applyAlignment="1">
      <alignment horizontal="center" vertical="center"/>
    </xf>
    <xf numFmtId="204" fontId="8" fillId="0" borderId="112" xfId="0" applyNumberFormat="1" applyFont="1" applyBorder="1" applyAlignment="1">
      <alignment horizontal="center" vertical="center"/>
    </xf>
    <xf numFmtId="204" fontId="8" fillId="0" borderId="112" xfId="0" applyNumberFormat="1" applyFont="1" applyBorder="1" applyAlignment="1">
      <alignment horizontal="center" vertical="center" shrinkToFit="1"/>
    </xf>
    <xf numFmtId="0" fontId="8" fillId="0" borderId="113" xfId="0" applyFont="1" applyBorder="1" applyAlignment="1">
      <alignment horizontal="center" vertical="center" wrapText="1"/>
    </xf>
    <xf numFmtId="3" fontId="8" fillId="0" borderId="113" xfId="0" applyNumberFormat="1" applyFont="1" applyBorder="1" applyAlignment="1">
      <alignment horizontal="center" vertical="center" wrapText="1"/>
    </xf>
    <xf numFmtId="202" fontId="8" fillId="0" borderId="113" xfId="0" applyNumberFormat="1" applyFont="1" applyBorder="1" applyAlignment="1">
      <alignment horizontal="center" vertical="center" wrapText="1"/>
    </xf>
    <xf numFmtId="10" fontId="8" fillId="0" borderId="113" xfId="0" applyNumberFormat="1" applyFont="1" applyBorder="1" applyAlignment="1">
      <alignment horizontal="center" vertical="center" wrapText="1"/>
    </xf>
    <xf numFmtId="49" fontId="8" fillId="0" borderId="108" xfId="0" applyNumberFormat="1" applyFont="1" applyBorder="1" applyAlignment="1">
      <alignment horizontal="center" vertical="center" wrapText="1"/>
    </xf>
    <xf numFmtId="0" fontId="8" fillId="0" borderId="0" xfId="0" applyFont="1" applyBorder="1" applyAlignment="1">
      <alignment horizontal="center" vertical="center" wrapText="1"/>
    </xf>
    <xf numFmtId="3" fontId="8" fillId="0" borderId="0" xfId="0" applyNumberFormat="1" applyFont="1" applyBorder="1" applyAlignment="1">
      <alignment horizontal="center" vertical="center" wrapText="1"/>
    </xf>
    <xf numFmtId="202" fontId="8" fillId="0" borderId="0" xfId="0" applyNumberFormat="1" applyFont="1" applyBorder="1" applyAlignment="1">
      <alignment horizontal="center" vertical="center" wrapText="1"/>
    </xf>
    <xf numFmtId="10" fontId="8" fillId="0" borderId="0" xfId="0" applyNumberFormat="1" applyFont="1" applyBorder="1" applyAlignment="1">
      <alignment horizontal="center" vertical="center" wrapText="1"/>
    </xf>
    <xf numFmtId="38" fontId="8" fillId="0" borderId="108" xfId="0" applyNumberFormat="1" applyFont="1" applyBorder="1" applyAlignment="1">
      <alignment horizontal="center" vertical="center" wrapText="1"/>
    </xf>
    <xf numFmtId="0" fontId="8" fillId="0" borderId="38" xfId="0" applyFont="1" applyBorder="1" applyAlignment="1">
      <alignment horizontal="center" vertical="center"/>
    </xf>
    <xf numFmtId="0" fontId="8" fillId="0" borderId="114" xfId="0" applyFont="1" applyBorder="1" applyAlignment="1">
      <alignment horizontal="center" vertical="center"/>
    </xf>
    <xf numFmtId="0" fontId="8" fillId="0" borderId="115" xfId="0" applyFont="1" applyBorder="1" applyAlignment="1">
      <alignment horizontal="center" vertical="center"/>
    </xf>
    <xf numFmtId="0" fontId="25" fillId="0" borderId="40" xfId="0" applyFont="1" applyBorder="1" applyAlignment="1">
      <alignment horizontal="center" vertical="center"/>
    </xf>
    <xf numFmtId="0" fontId="8" fillId="0" borderId="0" xfId="0" applyFont="1" applyAlignment="1">
      <alignment horizontal="left" indent="6"/>
    </xf>
    <xf numFmtId="0" fontId="8" fillId="0" borderId="116" xfId="0" applyFont="1" applyFill="1" applyBorder="1" applyAlignment="1">
      <alignment horizontal="center" vertical="center"/>
    </xf>
    <xf numFmtId="0" fontId="8" fillId="0" borderId="117" xfId="0" applyFont="1" applyFill="1" applyBorder="1" applyAlignment="1">
      <alignment horizontal="center" vertical="center"/>
    </xf>
    <xf numFmtId="199" fontId="8" fillId="0" borderId="117" xfId="0" applyNumberFormat="1" applyFont="1" applyFill="1" applyBorder="1" applyAlignment="1">
      <alignment horizontal="left" vertical="center" indent="1"/>
    </xf>
    <xf numFmtId="204" fontId="8" fillId="0" borderId="117" xfId="0" applyNumberFormat="1" applyFont="1" applyFill="1" applyBorder="1" applyAlignment="1">
      <alignment horizontal="left" vertical="center" indent="1"/>
    </xf>
    <xf numFmtId="187" fontId="8" fillId="0" borderId="117" xfId="0" applyNumberFormat="1" applyFont="1" applyFill="1" applyBorder="1" applyAlignment="1">
      <alignment horizontal="left" vertical="center" indent="1"/>
    </xf>
    <xf numFmtId="0" fontId="8" fillId="0" borderId="117" xfId="0" applyFont="1" applyFill="1" applyBorder="1" applyAlignment="1">
      <alignment horizontal="left" vertical="center" indent="1"/>
    </xf>
    <xf numFmtId="176" fontId="8" fillId="0" borderId="117" xfId="0" applyNumberFormat="1" applyFont="1" applyFill="1" applyBorder="1" applyAlignment="1">
      <alignment horizontal="left" vertical="center" indent="1"/>
    </xf>
    <xf numFmtId="40" fontId="8" fillId="0" borderId="117" xfId="0" applyNumberFormat="1" applyFont="1" applyFill="1" applyBorder="1" applyAlignment="1">
      <alignment horizontal="left" vertical="center" indent="1"/>
    </xf>
    <xf numFmtId="0" fontId="8" fillId="0" borderId="117" xfId="0" applyFont="1" applyFill="1" applyBorder="1" applyAlignment="1">
      <alignment horizontal="left" vertical="center" wrapText="1" indent="1"/>
    </xf>
    <xf numFmtId="0" fontId="8" fillId="0" borderId="118" xfId="0" applyFont="1" applyFill="1" applyBorder="1" applyAlignment="1">
      <alignment horizontal="left" vertical="center" wrapText="1" indent="1"/>
    </xf>
    <xf numFmtId="0" fontId="8" fillId="0" borderId="20" xfId="0" applyFont="1" applyBorder="1" applyAlignment="1">
      <alignment horizontal="left" vertical="center" indent="1"/>
    </xf>
    <xf numFmtId="0" fontId="27" fillId="0" borderId="0" xfId="0" applyFont="1" applyAlignment="1">
      <alignment vertical="center"/>
    </xf>
    <xf numFmtId="0" fontId="27" fillId="0" borderId="0" xfId="0" applyFont="1" applyAlignment="1">
      <alignment horizontal="left" vertical="center" indent="6"/>
    </xf>
    <xf numFmtId="0" fontId="27" fillId="0" borderId="0" xfId="0" applyFont="1" applyFill="1" applyAlignment="1">
      <alignment horizontal="left" vertical="center"/>
    </xf>
    <xf numFmtId="0" fontId="27" fillId="0" borderId="0" xfId="0" applyFont="1" applyFill="1" applyAlignment="1">
      <alignment horizontal="distributed" vertical="center"/>
    </xf>
    <xf numFmtId="0" fontId="27" fillId="0" borderId="0" xfId="0" applyFont="1" applyFill="1" applyAlignment="1">
      <alignment vertical="center"/>
    </xf>
    <xf numFmtId="0" fontId="27" fillId="0" borderId="119" xfId="0" applyFont="1" applyFill="1" applyBorder="1" applyAlignment="1">
      <alignment horizontal="center" vertical="center"/>
    </xf>
    <xf numFmtId="0" fontId="27" fillId="0" borderId="120" xfId="0" applyFont="1" applyFill="1" applyBorder="1" applyAlignment="1">
      <alignment horizontal="center" vertical="center"/>
    </xf>
    <xf numFmtId="0" fontId="27" fillId="0" borderId="77" xfId="0" applyFont="1" applyFill="1" applyBorder="1" applyAlignment="1">
      <alignment horizontal="center" vertical="center"/>
    </xf>
    <xf numFmtId="0" fontId="27" fillId="0" borderId="119" xfId="0" applyFont="1" applyBorder="1" applyAlignment="1">
      <alignment horizontal="center" vertical="center" shrinkToFit="1"/>
    </xf>
    <xf numFmtId="0" fontId="27" fillId="0" borderId="120" xfId="0" applyFont="1" applyBorder="1" applyAlignment="1">
      <alignment horizontal="center" vertical="center" shrinkToFit="1"/>
    </xf>
    <xf numFmtId="197" fontId="27" fillId="0" borderId="77" xfId="17" applyNumberFormat="1" applyFont="1" applyBorder="1" applyAlignment="1">
      <alignment horizontal="center" vertical="center" shrinkToFit="1"/>
    </xf>
    <xf numFmtId="0" fontId="26" fillId="0" borderId="0" xfId="0" applyFont="1" applyFill="1" applyBorder="1" applyAlignment="1">
      <alignment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8" fillId="0" borderId="0" xfId="0" applyFont="1" applyFill="1" applyBorder="1" applyAlignment="1">
      <alignment/>
    </xf>
    <xf numFmtId="0" fontId="8" fillId="0" borderId="0" xfId="0" applyFont="1" applyFill="1" applyBorder="1" applyAlignment="1">
      <alignment horizontal="left" indent="6"/>
    </xf>
    <xf numFmtId="0" fontId="8" fillId="0" borderId="42" xfId="0" applyFont="1" applyFill="1" applyBorder="1" applyAlignment="1">
      <alignment/>
    </xf>
    <xf numFmtId="0" fontId="8" fillId="0" borderId="17" xfId="0" applyFont="1" applyBorder="1" applyAlignment="1">
      <alignment horizontal="center" vertical="center"/>
    </xf>
    <xf numFmtId="0" fontId="8" fillId="0" borderId="68" xfId="0" applyFont="1" applyFill="1" applyBorder="1" applyAlignment="1">
      <alignment horizontal="center" vertical="center"/>
    </xf>
    <xf numFmtId="0" fontId="8" fillId="0" borderId="68" xfId="0" applyFont="1" applyBorder="1" applyAlignment="1">
      <alignment horizontal="center" vertical="center"/>
    </xf>
    <xf numFmtId="0" fontId="8" fillId="0" borderId="19" xfId="0" applyFont="1" applyBorder="1" applyAlignment="1">
      <alignment horizontal="center" vertical="center"/>
    </xf>
    <xf numFmtId="0" fontId="8" fillId="0" borderId="38" xfId="0" applyFont="1" applyFill="1" applyBorder="1" applyAlignment="1">
      <alignment horizontal="center" vertical="center"/>
    </xf>
    <xf numFmtId="0" fontId="8" fillId="0" borderId="121" xfId="0" applyFont="1" applyFill="1" applyBorder="1" applyAlignment="1">
      <alignment horizontal="center" vertical="center"/>
    </xf>
    <xf numFmtId="0" fontId="8" fillId="0" borderId="121" xfId="0" applyFont="1" applyFill="1" applyBorder="1" applyAlignment="1">
      <alignment horizontal="left" vertical="center"/>
    </xf>
    <xf numFmtId="0" fontId="8" fillId="0" borderId="119" xfId="0" applyFont="1" applyFill="1" applyBorder="1" applyAlignment="1">
      <alignment horizontal="center" vertical="center"/>
    </xf>
    <xf numFmtId="0" fontId="8" fillId="0" borderId="119" xfId="0" applyNumberFormat="1" applyFont="1" applyFill="1" applyBorder="1" applyAlignment="1">
      <alignment horizontal="left" vertical="center"/>
    </xf>
    <xf numFmtId="0" fontId="8" fillId="0" borderId="119" xfId="0" applyFont="1" applyFill="1" applyBorder="1" applyAlignment="1">
      <alignment horizontal="left" vertical="center"/>
    </xf>
    <xf numFmtId="176" fontId="8" fillId="0" borderId="119" xfId="0" applyNumberFormat="1" applyFont="1" applyFill="1" applyBorder="1" applyAlignment="1">
      <alignment horizontal="right" vertical="center"/>
    </xf>
    <xf numFmtId="176" fontId="8" fillId="0" borderId="98" xfId="0" applyNumberFormat="1" applyFont="1" applyFill="1" applyBorder="1" applyAlignment="1">
      <alignment horizontal="left" vertical="center" wrapText="1"/>
    </xf>
    <xf numFmtId="176" fontId="8" fillId="0" borderId="81" xfId="0" applyNumberFormat="1" applyFont="1" applyFill="1" applyBorder="1" applyAlignment="1">
      <alignment horizontal="left" vertical="center" wrapText="1"/>
    </xf>
    <xf numFmtId="0" fontId="8" fillId="0" borderId="119" xfId="0" applyFont="1" applyBorder="1" applyAlignment="1">
      <alignment horizontal="center" vertical="center"/>
    </xf>
    <xf numFmtId="0" fontId="8" fillId="0" borderId="122" xfId="0" applyFont="1" applyFill="1" applyBorder="1" applyAlignment="1">
      <alignment horizontal="center" vertical="center"/>
    </xf>
    <xf numFmtId="176" fontId="8" fillId="0" borderId="122" xfId="0" applyNumberFormat="1" applyFont="1" applyFill="1" applyBorder="1" applyAlignment="1">
      <alignment horizontal="right" vertical="center"/>
    </xf>
    <xf numFmtId="176" fontId="8" fillId="0" borderId="84" xfId="0" applyNumberFormat="1" applyFont="1" applyFill="1" applyBorder="1" applyAlignment="1">
      <alignment horizontal="left" vertical="center" wrapText="1"/>
    </xf>
    <xf numFmtId="176" fontId="8" fillId="0" borderId="41" xfId="0" applyNumberFormat="1" applyFont="1" applyBorder="1" applyAlignment="1">
      <alignment/>
    </xf>
    <xf numFmtId="176" fontId="8" fillId="0" borderId="0" xfId="0" applyNumberFormat="1" applyFont="1" applyAlignment="1">
      <alignment/>
    </xf>
    <xf numFmtId="176" fontId="8" fillId="0" borderId="119" xfId="0" applyNumberFormat="1" applyFont="1" applyBorder="1" applyAlignment="1">
      <alignment horizontal="center" vertical="center"/>
    </xf>
    <xf numFmtId="176" fontId="8" fillId="0" borderId="34" xfId="0" applyNumberFormat="1" applyFont="1" applyBorder="1" applyAlignment="1">
      <alignment/>
    </xf>
    <xf numFmtId="176" fontId="8" fillId="0" borderId="122" xfId="0" applyNumberFormat="1" applyFont="1" applyFill="1" applyBorder="1" applyAlignment="1">
      <alignment horizontal="center" vertical="center"/>
    </xf>
    <xf numFmtId="0" fontId="8" fillId="0" borderId="85" xfId="0" applyFont="1" applyFill="1" applyBorder="1" applyAlignment="1">
      <alignment horizontal="left" vertical="center"/>
    </xf>
    <xf numFmtId="0" fontId="8" fillId="0" borderId="120" xfId="0" applyFont="1" applyFill="1" applyBorder="1" applyAlignment="1">
      <alignment horizontal="left" vertical="center"/>
    </xf>
    <xf numFmtId="0" fontId="8" fillId="0" borderId="80" xfId="0" applyFont="1" applyFill="1" applyBorder="1" applyAlignment="1">
      <alignment horizontal="center" vertical="center"/>
    </xf>
    <xf numFmtId="176" fontId="8" fillId="0" borderId="120" xfId="0" applyNumberFormat="1" applyFont="1" applyFill="1" applyBorder="1" applyAlignment="1">
      <alignment horizontal="right" vertical="center"/>
    </xf>
    <xf numFmtId="0" fontId="8" fillId="0" borderId="83" xfId="0" applyFont="1" applyFill="1" applyBorder="1" applyAlignment="1">
      <alignment horizontal="center" vertical="center"/>
    </xf>
    <xf numFmtId="176" fontId="8" fillId="0" borderId="123" xfId="0" applyNumberFormat="1" applyFont="1" applyFill="1" applyBorder="1" applyAlignment="1">
      <alignment horizontal="right" vertical="center"/>
    </xf>
    <xf numFmtId="0" fontId="8" fillId="0" borderId="120" xfId="0" applyNumberFormat="1" applyFont="1" applyFill="1" applyBorder="1" applyAlignment="1">
      <alignment horizontal="left" vertical="center"/>
    </xf>
    <xf numFmtId="0" fontId="8" fillId="0" borderId="85" xfId="0" applyFont="1" applyFill="1" applyBorder="1" applyAlignment="1">
      <alignment vertical="center"/>
    </xf>
    <xf numFmtId="0" fontId="8" fillId="0" borderId="120" xfId="0" applyFont="1" applyFill="1" applyBorder="1" applyAlignment="1">
      <alignment vertical="center"/>
    </xf>
    <xf numFmtId="0" fontId="8" fillId="0" borderId="80" xfId="0" applyFont="1" applyFill="1" applyBorder="1" applyAlignment="1">
      <alignment vertical="center"/>
    </xf>
    <xf numFmtId="176" fontId="8" fillId="0" borderId="123" xfId="0" applyNumberFormat="1" applyFont="1" applyFill="1" applyBorder="1" applyAlignment="1">
      <alignment vertical="center"/>
    </xf>
    <xf numFmtId="176" fontId="8" fillId="0" borderId="84" xfId="0" applyNumberFormat="1" applyFont="1" applyFill="1" applyBorder="1" applyAlignment="1">
      <alignment vertical="center" wrapText="1"/>
    </xf>
    <xf numFmtId="0" fontId="8" fillId="0" borderId="0" xfId="0" applyFont="1" applyFill="1" applyAlignment="1">
      <alignment vertical="center"/>
    </xf>
    <xf numFmtId="0" fontId="8" fillId="0" borderId="92" xfId="0" applyFont="1" applyFill="1" applyBorder="1" applyAlignment="1">
      <alignment horizontal="center" vertical="center"/>
    </xf>
    <xf numFmtId="0" fontId="8" fillId="0" borderId="124" xfId="0" applyFont="1" applyBorder="1" applyAlignment="1">
      <alignment horizontal="left" vertical="center"/>
    </xf>
    <xf numFmtId="0" fontId="8" fillId="0" borderId="125" xfId="0" applyFont="1" applyBorder="1" applyAlignment="1">
      <alignment horizontal="center" vertical="center"/>
    </xf>
    <xf numFmtId="0" fontId="8" fillId="0" borderId="126" xfId="0" applyFont="1" applyFill="1" applyBorder="1" applyAlignment="1">
      <alignment horizontal="center" vertical="center"/>
    </xf>
    <xf numFmtId="0" fontId="8" fillId="0" borderId="127" xfId="0" applyFont="1" applyFill="1" applyBorder="1" applyAlignment="1">
      <alignment horizontal="left" vertical="center"/>
    </xf>
    <xf numFmtId="0" fontId="8" fillId="0" borderId="80" xfId="0" applyNumberFormat="1" applyFont="1" applyFill="1" applyBorder="1" applyAlignment="1">
      <alignment horizontal="center" vertical="center"/>
    </xf>
    <xf numFmtId="0" fontId="8" fillId="0" borderId="119" xfId="0" applyNumberFormat="1" applyFont="1" applyFill="1" applyBorder="1" applyAlignment="1">
      <alignment horizontal="center" vertical="center"/>
    </xf>
    <xf numFmtId="0" fontId="8" fillId="0" borderId="128" xfId="0" applyNumberFormat="1" applyFont="1" applyFill="1" applyBorder="1" applyAlignment="1">
      <alignment horizontal="left" vertical="center"/>
    </xf>
    <xf numFmtId="0" fontId="8" fillId="0" borderId="128" xfId="0" applyFont="1" applyFill="1" applyBorder="1" applyAlignment="1">
      <alignment horizontal="left" vertical="center"/>
    </xf>
    <xf numFmtId="176" fontId="8" fillId="0" borderId="129" xfId="0" applyNumberFormat="1" applyFont="1" applyBorder="1" applyAlignment="1">
      <alignment horizontal="left" vertical="center"/>
    </xf>
    <xf numFmtId="176" fontId="8" fillId="0" borderId="0" xfId="0" applyNumberFormat="1" applyFont="1" applyAlignment="1">
      <alignment/>
    </xf>
    <xf numFmtId="0" fontId="8" fillId="0" borderId="0" xfId="0" applyFont="1" applyFill="1" applyBorder="1" applyAlignment="1">
      <alignment horizontal="left" vertical="center" indent="2"/>
    </xf>
    <xf numFmtId="56" fontId="8" fillId="0" borderId="0" xfId="0" applyNumberFormat="1" applyFont="1" applyAlignment="1">
      <alignment/>
    </xf>
    <xf numFmtId="189" fontId="8" fillId="0" borderId="97" xfId="0" applyNumberFormat="1" applyFont="1" applyBorder="1" applyAlignment="1">
      <alignment vertical="center" shrinkToFit="1"/>
    </xf>
    <xf numFmtId="189" fontId="8" fillId="0" borderId="97" xfId="0" applyNumberFormat="1" applyFont="1" applyBorder="1" applyAlignment="1">
      <alignment horizontal="right" vertical="center" shrinkToFit="1"/>
    </xf>
    <xf numFmtId="189" fontId="8" fillId="0" borderId="96" xfId="0" applyNumberFormat="1" applyFont="1" applyBorder="1" applyAlignment="1">
      <alignment vertical="center" shrinkToFit="1"/>
    </xf>
    <xf numFmtId="189" fontId="8" fillId="0" borderId="90" xfId="0" applyNumberFormat="1" applyFont="1" applyBorder="1" applyAlignment="1">
      <alignment vertical="center" shrinkToFit="1"/>
    </xf>
    <xf numFmtId="189" fontId="8" fillId="0" borderId="80" xfId="0" applyNumberFormat="1" applyFont="1" applyBorder="1" applyAlignment="1">
      <alignment vertical="center" shrinkToFit="1"/>
    </xf>
    <xf numFmtId="0" fontId="25" fillId="0" borderId="95" xfId="0" applyFont="1" applyBorder="1" applyAlignment="1">
      <alignment horizontal="center" vertical="center" wrapText="1"/>
    </xf>
    <xf numFmtId="0" fontId="37" fillId="0" borderId="95" xfId="0" applyFont="1" applyBorder="1" applyAlignment="1">
      <alignment horizontal="center" vertical="center" wrapText="1"/>
    </xf>
    <xf numFmtId="0" fontId="37" fillId="0" borderId="96" xfId="0" applyFont="1" applyBorder="1" applyAlignment="1">
      <alignment horizontal="center" vertical="center" wrapText="1"/>
    </xf>
    <xf numFmtId="0" fontId="38" fillId="2" borderId="11" xfId="0" applyFont="1" applyFill="1" applyBorder="1" applyAlignment="1">
      <alignment horizontal="distributed" vertical="center"/>
    </xf>
    <xf numFmtId="0" fontId="38" fillId="2" borderId="26" xfId="0" applyFont="1" applyFill="1" applyBorder="1" applyAlignment="1">
      <alignment horizontal="distributed"/>
    </xf>
    <xf numFmtId="0" fontId="38" fillId="2" borderId="28" xfId="0" applyFont="1" applyFill="1" applyBorder="1" applyAlignment="1">
      <alignment horizontal="distributed"/>
    </xf>
    <xf numFmtId="0" fontId="38" fillId="2" borderId="26" xfId="0" applyFont="1" applyFill="1" applyBorder="1" applyAlignment="1">
      <alignment horizontal="distributed"/>
    </xf>
    <xf numFmtId="0" fontId="38" fillId="2" borderId="30" xfId="0" applyFont="1" applyFill="1" applyBorder="1" applyAlignment="1">
      <alignment horizontal="distributed"/>
    </xf>
    <xf numFmtId="0" fontId="38" fillId="2" borderId="28" xfId="0" applyFont="1" applyFill="1" applyBorder="1" applyAlignment="1">
      <alignment horizontal="distributed"/>
    </xf>
    <xf numFmtId="0" fontId="27" fillId="0" borderId="130" xfId="0" applyFont="1" applyBorder="1" applyAlignment="1">
      <alignment horizontal="distributed" vertical="center"/>
    </xf>
    <xf numFmtId="0" fontId="27" fillId="0" borderId="81" xfId="0" applyFont="1" applyBorder="1" applyAlignment="1">
      <alignment horizontal="distributed" vertical="center"/>
    </xf>
    <xf numFmtId="0" fontId="27" fillId="0" borderId="81" xfId="0" applyFont="1" applyFill="1" applyBorder="1" applyAlignment="1">
      <alignment horizontal="distributed" vertical="center" wrapText="1"/>
    </xf>
    <xf numFmtId="0" fontId="27" fillId="0" borderId="81" xfId="0" applyFont="1" applyFill="1" applyBorder="1" applyAlignment="1">
      <alignment horizontal="distributed" vertical="center"/>
    </xf>
    <xf numFmtId="58" fontId="11" fillId="3" borderId="18" xfId="0" applyNumberFormat="1" applyFont="1" applyFill="1" applyBorder="1" applyAlignment="1" applyProtection="1">
      <alignment horizontal="center" vertical="center"/>
      <protection locked="0"/>
    </xf>
    <xf numFmtId="58" fontId="11" fillId="3" borderId="19" xfId="0" applyNumberFormat="1" applyFont="1" applyFill="1" applyBorder="1" applyAlignment="1" applyProtection="1">
      <alignment horizontal="center" vertical="center"/>
      <protection locked="0"/>
    </xf>
    <xf numFmtId="0" fontId="11" fillId="3" borderId="17" xfId="0" applyFont="1" applyFill="1" applyBorder="1" applyAlignment="1" applyProtection="1">
      <alignment horizontal="left" vertical="center" wrapText="1"/>
      <protection/>
    </xf>
    <xf numFmtId="0" fontId="11" fillId="3" borderId="18" xfId="0" applyFont="1" applyFill="1" applyBorder="1" applyAlignment="1" applyProtection="1">
      <alignment horizontal="left" vertical="center" wrapText="1"/>
      <protection/>
    </xf>
    <xf numFmtId="0" fontId="11" fillId="3" borderId="19" xfId="0" applyFont="1" applyFill="1" applyBorder="1" applyAlignment="1" applyProtection="1">
      <alignment horizontal="left" vertical="center" wrapText="1"/>
      <protection/>
    </xf>
    <xf numFmtId="58" fontId="11" fillId="3" borderId="17" xfId="0" applyNumberFormat="1" applyFont="1" applyFill="1" applyBorder="1" applyAlignment="1" applyProtection="1">
      <alignment horizontal="center" vertical="center"/>
      <protection locked="0"/>
    </xf>
    <xf numFmtId="0" fontId="11" fillId="2" borderId="19"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17" xfId="0" applyFont="1" applyFill="1" applyBorder="1" applyAlignment="1">
      <alignment horizontal="center" vertical="center"/>
    </xf>
    <xf numFmtId="58" fontId="11" fillId="2" borderId="131" xfId="0" applyNumberFormat="1" applyFont="1" applyFill="1" applyBorder="1" applyAlignment="1" applyProtection="1">
      <alignment horizontal="center" vertical="center"/>
      <protection locked="0"/>
    </xf>
    <xf numFmtId="49" fontId="11" fillId="0" borderId="17" xfId="0" applyNumberFormat="1" applyFont="1" applyBorder="1" applyAlignment="1" applyProtection="1">
      <alignment horizontal="left"/>
      <protection locked="0"/>
    </xf>
    <xf numFmtId="49" fontId="11" fillId="0" borderId="18" xfId="0" applyNumberFormat="1" applyFont="1" applyBorder="1" applyAlignment="1" applyProtection="1">
      <alignment horizontal="left"/>
      <protection locked="0"/>
    </xf>
    <xf numFmtId="49" fontId="11" fillId="0" borderId="19" xfId="0" applyNumberFormat="1" applyFont="1" applyBorder="1" applyAlignment="1" applyProtection="1">
      <alignment horizontal="left"/>
      <protection locked="0"/>
    </xf>
    <xf numFmtId="58" fontId="11" fillId="2" borderId="132" xfId="0" applyNumberFormat="1" applyFont="1" applyFill="1" applyBorder="1" applyAlignment="1" applyProtection="1">
      <alignment horizontal="center" vertical="center"/>
      <protection locked="0"/>
    </xf>
    <xf numFmtId="58" fontId="11" fillId="2" borderId="133" xfId="0" applyNumberFormat="1" applyFont="1" applyFill="1" applyBorder="1" applyAlignment="1" applyProtection="1">
      <alignment horizontal="center" vertical="center"/>
      <protection locked="0"/>
    </xf>
    <xf numFmtId="0" fontId="11" fillId="2" borderId="12" xfId="0" applyFont="1" applyFill="1" applyBorder="1" applyAlignment="1">
      <alignment vertical="center" wrapText="1"/>
    </xf>
    <xf numFmtId="0" fontId="11" fillId="2" borderId="134" xfId="0" applyFont="1" applyFill="1" applyBorder="1" applyAlignment="1">
      <alignment vertical="center" wrapText="1"/>
    </xf>
    <xf numFmtId="0" fontId="11" fillId="2" borderId="11" xfId="0" applyFont="1" applyFill="1" applyBorder="1" applyAlignment="1">
      <alignment vertical="center" wrapText="1"/>
    </xf>
    <xf numFmtId="49" fontId="11" fillId="2" borderId="135" xfId="0" applyNumberFormat="1" applyFont="1" applyFill="1" applyBorder="1" applyAlignment="1" applyProtection="1">
      <alignment horizontal="center" vertical="center"/>
      <protection/>
    </xf>
    <xf numFmtId="49" fontId="11" fillId="2" borderId="136" xfId="0" applyNumberFormat="1" applyFont="1" applyFill="1" applyBorder="1" applyAlignment="1" applyProtection="1">
      <alignment horizontal="center" vertical="center"/>
      <protection/>
    </xf>
    <xf numFmtId="49" fontId="11" fillId="2" borderId="137" xfId="0" applyNumberFormat="1" applyFont="1" applyFill="1" applyBorder="1" applyAlignment="1" applyProtection="1">
      <alignment horizontal="center" vertical="center"/>
      <protection/>
    </xf>
    <xf numFmtId="58" fontId="11" fillId="2" borderId="133" xfId="0" applyNumberFormat="1" applyFont="1" applyFill="1" applyBorder="1" applyAlignment="1" applyProtection="1">
      <alignment horizontal="center" vertical="center"/>
      <protection/>
    </xf>
    <xf numFmtId="58" fontId="11" fillId="2" borderId="131" xfId="0" applyNumberFormat="1" applyFont="1" applyFill="1" applyBorder="1" applyAlignment="1" applyProtection="1">
      <alignment horizontal="center" vertical="center"/>
      <protection/>
    </xf>
    <xf numFmtId="58" fontId="11" fillId="0" borderId="132" xfId="0" applyNumberFormat="1" applyFont="1" applyFill="1" applyBorder="1" applyAlignment="1" applyProtection="1">
      <alignment horizontal="center" vertical="center"/>
      <protection locked="0"/>
    </xf>
    <xf numFmtId="58" fontId="11" fillId="0" borderId="133" xfId="0" applyNumberFormat="1" applyFont="1" applyFill="1" applyBorder="1" applyAlignment="1" applyProtection="1">
      <alignment horizontal="center" vertical="center"/>
      <protection locked="0"/>
    </xf>
    <xf numFmtId="58" fontId="11" fillId="0" borderId="131" xfId="0" applyNumberFormat="1" applyFont="1" applyFill="1" applyBorder="1" applyAlignment="1" applyProtection="1">
      <alignment horizontal="center" vertical="center"/>
      <protection locked="0"/>
    </xf>
    <xf numFmtId="0" fontId="13" fillId="2" borderId="15" xfId="0" applyFont="1" applyFill="1" applyBorder="1" applyAlignment="1">
      <alignment horizontal="center" vertical="center"/>
    </xf>
    <xf numFmtId="0" fontId="11" fillId="2" borderId="8" xfId="0" applyNumberFormat="1" applyFont="1" applyFill="1" applyBorder="1" applyAlignment="1" applyProtection="1">
      <alignment horizontal="center" vertical="center"/>
      <protection locked="0"/>
    </xf>
    <xf numFmtId="0" fontId="11" fillId="2" borderId="138" xfId="0" applyNumberFormat="1" applyFont="1" applyFill="1" applyBorder="1" applyAlignment="1" applyProtection="1">
      <alignment horizontal="center" vertical="center"/>
      <protection locked="0"/>
    </xf>
    <xf numFmtId="58" fontId="11" fillId="2" borderId="132" xfId="0" applyNumberFormat="1" applyFont="1" applyFill="1" applyBorder="1" applyAlignment="1" applyProtection="1">
      <alignment horizontal="center" vertical="center"/>
      <protection/>
    </xf>
    <xf numFmtId="0" fontId="13" fillId="2" borderId="14" xfId="0" applyFont="1" applyFill="1" applyBorder="1" applyAlignment="1">
      <alignment horizontal="center" vertical="center"/>
    </xf>
    <xf numFmtId="0" fontId="13" fillId="2" borderId="4" xfId="0" applyFont="1" applyFill="1" applyBorder="1" applyAlignment="1">
      <alignment horizontal="distributed" vertical="center"/>
    </xf>
    <xf numFmtId="0" fontId="13" fillId="2" borderId="131" xfId="0" applyFont="1" applyFill="1" applyBorder="1" applyAlignment="1">
      <alignment horizontal="center" vertical="center"/>
    </xf>
    <xf numFmtId="0" fontId="13" fillId="2" borderId="139" xfId="0" applyFont="1" applyFill="1" applyBorder="1" applyAlignment="1">
      <alignment horizontal="distributed" vertical="center"/>
    </xf>
    <xf numFmtId="0" fontId="13" fillId="3" borderId="133" xfId="0" applyFont="1" applyFill="1" applyBorder="1" applyAlignment="1" applyProtection="1">
      <alignment horizontal="center" vertical="center"/>
      <protection locked="0"/>
    </xf>
    <xf numFmtId="0" fontId="13" fillId="3" borderId="131" xfId="0" applyFont="1" applyFill="1" applyBorder="1" applyAlignment="1" applyProtection="1">
      <alignment horizontal="center" vertical="center"/>
      <protection locked="0"/>
    </xf>
    <xf numFmtId="58" fontId="11" fillId="3" borderId="132" xfId="0" applyNumberFormat="1" applyFont="1" applyFill="1" applyBorder="1" applyAlignment="1" applyProtection="1">
      <alignment horizontal="center" vertical="center"/>
      <protection locked="0"/>
    </xf>
    <xf numFmtId="58" fontId="11" fillId="3" borderId="133" xfId="0" applyNumberFormat="1" applyFont="1" applyFill="1" applyBorder="1" applyAlignment="1" applyProtection="1">
      <alignment horizontal="center" vertical="center"/>
      <protection locked="0"/>
    </xf>
    <xf numFmtId="58" fontId="11" fillId="3" borderId="131" xfId="0" applyNumberFormat="1" applyFont="1" applyFill="1" applyBorder="1" applyAlignment="1" applyProtection="1">
      <alignment horizontal="center" vertical="center"/>
      <protection locked="0"/>
    </xf>
    <xf numFmtId="0" fontId="11" fillId="3" borderId="140" xfId="0" applyFont="1" applyFill="1" applyBorder="1" applyAlignment="1" applyProtection="1">
      <alignment horizontal="center" vertical="center"/>
      <protection locked="0"/>
    </xf>
    <xf numFmtId="0" fontId="11" fillId="3" borderId="141" xfId="0" applyFont="1" applyFill="1" applyBorder="1" applyAlignment="1" applyProtection="1">
      <alignment horizontal="center" vertical="center"/>
      <protection locked="0"/>
    </xf>
    <xf numFmtId="0" fontId="11" fillId="3" borderId="142" xfId="0" applyFont="1" applyFill="1" applyBorder="1" applyAlignment="1" applyProtection="1">
      <alignment horizontal="center" vertical="center"/>
      <protection locked="0"/>
    </xf>
    <xf numFmtId="0" fontId="13" fillId="3" borderId="143" xfId="0" applyFont="1" applyFill="1" applyBorder="1" applyAlignment="1" applyProtection="1">
      <alignment horizontal="center" vertical="center"/>
      <protection locked="0"/>
    </xf>
    <xf numFmtId="0" fontId="13" fillId="3" borderId="142" xfId="0" applyFont="1" applyFill="1" applyBorder="1" applyAlignment="1" applyProtection="1">
      <alignment horizontal="center" vertical="center"/>
      <protection locked="0"/>
    </xf>
    <xf numFmtId="0" fontId="13" fillId="2" borderId="132" xfId="0" applyFont="1" applyFill="1" applyBorder="1" applyAlignment="1">
      <alignment horizontal="left" vertical="center" wrapText="1" indent="1"/>
    </xf>
    <xf numFmtId="0" fontId="13" fillId="2" borderId="133" xfId="0" applyFont="1" applyFill="1" applyBorder="1" applyAlignment="1">
      <alignment horizontal="left" vertical="center" wrapText="1" indent="1"/>
    </xf>
    <xf numFmtId="0" fontId="13" fillId="2" borderId="131" xfId="0" applyFont="1" applyFill="1" applyBorder="1" applyAlignment="1">
      <alignment horizontal="left" vertical="center" wrapText="1" indent="1"/>
    </xf>
    <xf numFmtId="0" fontId="11" fillId="2" borderId="144" xfId="0" applyFont="1" applyFill="1" applyBorder="1" applyAlignment="1">
      <alignment vertical="center" wrapText="1"/>
    </xf>
    <xf numFmtId="0" fontId="11" fillId="2" borderId="138" xfId="0" applyFont="1" applyFill="1" applyBorder="1" applyAlignment="1">
      <alignment vertical="center" wrapText="1"/>
    </xf>
    <xf numFmtId="0" fontId="11" fillId="2" borderId="0" xfId="0" applyFont="1" applyFill="1" applyBorder="1" applyAlignment="1">
      <alignment vertical="center" wrapText="1"/>
    </xf>
    <xf numFmtId="0" fontId="11" fillId="2" borderId="145" xfId="0" applyFont="1" applyFill="1" applyBorder="1" applyAlignment="1">
      <alignment vertical="center" wrapText="1"/>
    </xf>
    <xf numFmtId="0" fontId="11" fillId="2" borderId="136" xfId="0" applyFont="1" applyFill="1" applyBorder="1" applyAlignment="1">
      <alignment vertical="center" wrapText="1"/>
    </xf>
    <xf numFmtId="0" fontId="11" fillId="2" borderId="137" xfId="0" applyFont="1" applyFill="1" applyBorder="1" applyAlignment="1">
      <alignment vertical="center" wrapText="1"/>
    </xf>
    <xf numFmtId="0" fontId="13" fillId="2" borderId="146" xfId="0" applyFont="1" applyFill="1" applyBorder="1" applyAlignment="1">
      <alignment horizontal="center" vertical="center"/>
    </xf>
    <xf numFmtId="0" fontId="13" fillId="2" borderId="133" xfId="0" applyFont="1" applyFill="1" applyBorder="1" applyAlignment="1">
      <alignment horizontal="center" vertical="center"/>
    </xf>
    <xf numFmtId="0" fontId="11" fillId="2" borderId="38" xfId="0" applyFont="1" applyFill="1" applyBorder="1" applyAlignment="1" applyProtection="1">
      <alignment horizontal="center" vertical="center"/>
      <protection/>
    </xf>
    <xf numFmtId="0" fontId="11" fillId="2" borderId="39" xfId="0" applyFont="1" applyFill="1" applyBorder="1" applyAlignment="1" applyProtection="1">
      <alignment horizontal="center" vertical="center"/>
      <protection/>
    </xf>
    <xf numFmtId="0" fontId="11" fillId="2" borderId="40" xfId="0" applyFont="1" applyFill="1" applyBorder="1" applyAlignment="1" applyProtection="1">
      <alignment horizontal="center" vertical="center"/>
      <protection/>
    </xf>
    <xf numFmtId="0" fontId="12" fillId="2" borderId="0" xfId="0" applyFont="1" applyFill="1" applyBorder="1" applyAlignment="1">
      <alignment horizontal="left" vertical="center"/>
    </xf>
    <xf numFmtId="0" fontId="12" fillId="2" borderId="147" xfId="0" applyFont="1" applyFill="1" applyBorder="1" applyAlignment="1">
      <alignment horizontal="left" vertical="center"/>
    </xf>
    <xf numFmtId="58" fontId="11" fillId="2" borderId="17" xfId="0" applyNumberFormat="1" applyFont="1" applyFill="1" applyBorder="1" applyAlignment="1">
      <alignment horizontal="center" vertical="center"/>
    </xf>
    <xf numFmtId="58" fontId="11" fillId="2" borderId="18" xfId="0" applyNumberFormat="1" applyFont="1" applyFill="1" applyBorder="1" applyAlignment="1">
      <alignment horizontal="center" vertical="center"/>
    </xf>
    <xf numFmtId="58" fontId="11" fillId="2" borderId="19" xfId="0" applyNumberFormat="1" applyFont="1" applyFill="1" applyBorder="1" applyAlignment="1">
      <alignment horizontal="center" vertical="center"/>
    </xf>
    <xf numFmtId="0" fontId="13" fillId="2" borderId="9" xfId="0" applyFont="1" applyFill="1" applyBorder="1" applyAlignment="1">
      <alignment horizontal="center" vertical="center"/>
    </xf>
    <xf numFmtId="0" fontId="11" fillId="3" borderId="38" xfId="0" applyFont="1" applyFill="1" applyBorder="1" applyAlignment="1" applyProtection="1">
      <alignment horizontal="left" vertical="center" wrapText="1" indent="1"/>
      <protection locked="0"/>
    </xf>
    <xf numFmtId="0" fontId="11" fillId="3" borderId="39" xfId="0" applyFont="1" applyFill="1" applyBorder="1" applyAlignment="1" applyProtection="1">
      <alignment horizontal="left" vertical="center" wrapText="1" indent="1"/>
      <protection locked="0"/>
    </xf>
    <xf numFmtId="0" fontId="11" fillId="3" borderId="40" xfId="0" applyFont="1" applyFill="1" applyBorder="1" applyAlignment="1" applyProtection="1">
      <alignment horizontal="left" vertical="center" wrapText="1" indent="1"/>
      <protection locked="0"/>
    </xf>
    <xf numFmtId="0" fontId="11" fillId="3" borderId="34" xfId="0" applyFont="1" applyFill="1" applyBorder="1" applyAlignment="1" applyProtection="1">
      <alignment horizontal="left" vertical="center" wrapText="1" indent="1"/>
      <protection locked="0"/>
    </xf>
    <xf numFmtId="0" fontId="11" fillId="3" borderId="42" xfId="0" applyFont="1" applyFill="1" applyBorder="1" applyAlignment="1" applyProtection="1">
      <alignment horizontal="left" vertical="center" wrapText="1" indent="1"/>
      <protection locked="0"/>
    </xf>
    <xf numFmtId="0" fontId="11" fillId="3" borderId="35" xfId="0" applyFont="1" applyFill="1" applyBorder="1" applyAlignment="1" applyProtection="1">
      <alignment horizontal="left" vertical="center" wrapText="1" indent="1"/>
      <protection locked="0"/>
    </xf>
    <xf numFmtId="0" fontId="11" fillId="2" borderId="9" xfId="0" applyFont="1" applyFill="1" applyBorder="1" applyAlignment="1">
      <alignment horizontal="center" vertical="center"/>
    </xf>
    <xf numFmtId="0" fontId="16" fillId="3" borderId="17" xfId="0" applyFont="1" applyFill="1" applyBorder="1" applyAlignment="1" applyProtection="1">
      <alignment horizontal="center" vertical="center"/>
      <protection locked="0"/>
    </xf>
    <xf numFmtId="0" fontId="16" fillId="3" borderId="18" xfId="0" applyFont="1" applyFill="1" applyBorder="1" applyAlignment="1" applyProtection="1">
      <alignment horizontal="center" vertical="center"/>
      <protection locked="0"/>
    </xf>
    <xf numFmtId="0" fontId="16" fillId="3" borderId="19" xfId="0" applyFont="1" applyFill="1" applyBorder="1" applyAlignment="1" applyProtection="1">
      <alignment horizontal="center" vertical="center"/>
      <protection locked="0"/>
    </xf>
    <xf numFmtId="58" fontId="13" fillId="3" borderId="17" xfId="0" applyNumberFormat="1" applyFont="1" applyFill="1" applyBorder="1" applyAlignment="1" applyProtection="1">
      <alignment horizontal="center" vertical="center"/>
      <protection locked="0"/>
    </xf>
    <xf numFmtId="58" fontId="13" fillId="3" borderId="18" xfId="0" applyNumberFormat="1" applyFont="1" applyFill="1" applyBorder="1" applyAlignment="1" applyProtection="1">
      <alignment horizontal="center" vertical="center"/>
      <protection locked="0"/>
    </xf>
    <xf numFmtId="58" fontId="13" fillId="3" borderId="19" xfId="0" applyNumberFormat="1" applyFont="1" applyFill="1" applyBorder="1" applyAlignment="1" applyProtection="1">
      <alignment horizontal="center" vertical="center"/>
      <protection locked="0"/>
    </xf>
    <xf numFmtId="0" fontId="13" fillId="2" borderId="17" xfId="0" applyFont="1" applyFill="1" applyBorder="1" applyAlignment="1">
      <alignment horizontal="center" vertical="center"/>
    </xf>
    <xf numFmtId="0" fontId="13" fillId="2" borderId="18" xfId="0" applyFont="1" applyFill="1" applyBorder="1" applyAlignment="1">
      <alignment horizontal="center" vertical="center"/>
    </xf>
    <xf numFmtId="0" fontId="13" fillId="2" borderId="19" xfId="0" applyFont="1" applyFill="1" applyBorder="1" applyAlignment="1">
      <alignment horizontal="center" vertical="center"/>
    </xf>
    <xf numFmtId="0" fontId="13" fillId="3" borderId="22" xfId="0" applyFont="1" applyFill="1" applyBorder="1" applyAlignment="1" applyProtection="1">
      <alignment horizontal="left" vertical="center"/>
      <protection locked="0"/>
    </xf>
    <xf numFmtId="0" fontId="11" fillId="2" borderId="38" xfId="0" applyFont="1" applyFill="1" applyBorder="1" applyAlignment="1" applyProtection="1">
      <alignment horizontal="left" vertical="center" indent="1"/>
      <protection/>
    </xf>
    <xf numFmtId="0" fontId="11" fillId="2" borderId="39" xfId="0" applyFont="1" applyFill="1" applyBorder="1" applyAlignment="1" applyProtection="1">
      <alignment horizontal="left" vertical="center" indent="1"/>
      <protection/>
    </xf>
    <xf numFmtId="0" fontId="11" fillId="2" borderId="40" xfId="0" applyFont="1" applyFill="1" applyBorder="1" applyAlignment="1" applyProtection="1">
      <alignment horizontal="left" vertical="center" indent="1"/>
      <protection/>
    </xf>
    <xf numFmtId="0" fontId="11" fillId="2" borderId="34" xfId="0" applyFont="1" applyFill="1" applyBorder="1" applyAlignment="1" applyProtection="1">
      <alignment horizontal="left" vertical="center" indent="1"/>
      <protection/>
    </xf>
    <xf numFmtId="0" fontId="11" fillId="2" borderId="42" xfId="0" applyFont="1" applyFill="1" applyBorder="1" applyAlignment="1" applyProtection="1">
      <alignment horizontal="left" vertical="center" indent="1"/>
      <protection/>
    </xf>
    <xf numFmtId="0" fontId="11" fillId="2" borderId="35" xfId="0" applyFont="1" applyFill="1" applyBorder="1" applyAlignment="1" applyProtection="1">
      <alignment horizontal="left" vertical="center" indent="1"/>
      <protection/>
    </xf>
    <xf numFmtId="0" fontId="11" fillId="2" borderId="38" xfId="0" applyFont="1" applyFill="1" applyBorder="1" applyAlignment="1" applyProtection="1">
      <alignment horizontal="left" vertical="center" wrapText="1" indent="1"/>
      <protection/>
    </xf>
    <xf numFmtId="0" fontId="11" fillId="2" borderId="39" xfId="0" applyFont="1" applyFill="1" applyBorder="1" applyAlignment="1" applyProtection="1">
      <alignment horizontal="left" vertical="center" wrapText="1" indent="1"/>
      <protection/>
    </xf>
    <xf numFmtId="0" fontId="11" fillId="2" borderId="40" xfId="0" applyFont="1" applyFill="1" applyBorder="1" applyAlignment="1" applyProtection="1">
      <alignment horizontal="left" vertical="center" wrapText="1" indent="1"/>
      <protection/>
    </xf>
    <xf numFmtId="0" fontId="11" fillId="2" borderId="41" xfId="0" applyFont="1" applyFill="1" applyBorder="1" applyAlignment="1" applyProtection="1">
      <alignment horizontal="left" vertical="center" wrapText="1" indent="1"/>
      <protection/>
    </xf>
    <xf numFmtId="0" fontId="11" fillId="2" borderId="0" xfId="0" applyFont="1" applyFill="1" applyBorder="1" applyAlignment="1" applyProtection="1">
      <alignment horizontal="left" vertical="center" wrapText="1" indent="1"/>
      <protection/>
    </xf>
    <xf numFmtId="0" fontId="11" fillId="2" borderId="37" xfId="0" applyFont="1" applyFill="1" applyBorder="1" applyAlignment="1" applyProtection="1">
      <alignment horizontal="left" vertical="center" wrapText="1" indent="1"/>
      <protection/>
    </xf>
    <xf numFmtId="0" fontId="11" fillId="2" borderId="34" xfId="0" applyFont="1" applyFill="1" applyBorder="1" applyAlignment="1" applyProtection="1">
      <alignment horizontal="left" vertical="center" wrapText="1" indent="1"/>
      <protection/>
    </xf>
    <xf numFmtId="0" fontId="11" fillId="2" borderId="42" xfId="0" applyFont="1" applyFill="1" applyBorder="1" applyAlignment="1" applyProtection="1">
      <alignment horizontal="left" vertical="center" wrapText="1" indent="1"/>
      <protection/>
    </xf>
    <xf numFmtId="0" fontId="11" fillId="2" borderId="35" xfId="0" applyFont="1" applyFill="1" applyBorder="1" applyAlignment="1" applyProtection="1">
      <alignment horizontal="left" vertical="center" wrapText="1" indent="1"/>
      <protection/>
    </xf>
    <xf numFmtId="0" fontId="12" fillId="2" borderId="17" xfId="0" applyFont="1" applyFill="1" applyBorder="1" applyAlignment="1" applyProtection="1">
      <alignment horizontal="center" vertical="center"/>
      <protection/>
    </xf>
    <xf numFmtId="0" fontId="12" fillId="2" borderId="18" xfId="0" applyFont="1" applyFill="1" applyBorder="1" applyAlignment="1" applyProtection="1">
      <alignment horizontal="center" vertical="center"/>
      <protection/>
    </xf>
    <xf numFmtId="0" fontId="12" fillId="2" borderId="19" xfId="0" applyFont="1" applyFill="1" applyBorder="1" applyAlignment="1" applyProtection="1">
      <alignment horizontal="center" vertical="center"/>
      <protection/>
    </xf>
    <xf numFmtId="0" fontId="11" fillId="2" borderId="41" xfId="0" applyFont="1" applyFill="1" applyBorder="1" applyAlignment="1" applyProtection="1">
      <alignment horizontal="center" vertical="center"/>
      <protection/>
    </xf>
    <xf numFmtId="0" fontId="11" fillId="2" borderId="0" xfId="0" applyFont="1" applyFill="1" applyBorder="1" applyAlignment="1" applyProtection="1">
      <alignment horizontal="center" vertical="center"/>
      <protection/>
    </xf>
    <xf numFmtId="0" fontId="11" fillId="2" borderId="37" xfId="0" applyFont="1" applyFill="1" applyBorder="1" applyAlignment="1" applyProtection="1">
      <alignment horizontal="center" vertical="center"/>
      <protection/>
    </xf>
    <xf numFmtId="0" fontId="11" fillId="2" borderId="34" xfId="0" applyFont="1" applyFill="1" applyBorder="1" applyAlignment="1" applyProtection="1">
      <alignment horizontal="center" vertical="center"/>
      <protection/>
    </xf>
    <xf numFmtId="0" fontId="11" fillId="2" borderId="42" xfId="0" applyFont="1" applyFill="1" applyBorder="1" applyAlignment="1" applyProtection="1">
      <alignment horizontal="center" vertical="center"/>
      <protection/>
    </xf>
    <xf numFmtId="0" fontId="11" fillId="2" borderId="35" xfId="0" applyFont="1" applyFill="1" applyBorder="1" applyAlignment="1" applyProtection="1">
      <alignment horizontal="center" vertical="center"/>
      <protection/>
    </xf>
    <xf numFmtId="0" fontId="11" fillId="2" borderId="38" xfId="0" applyFont="1" applyFill="1" applyBorder="1" applyAlignment="1">
      <alignment horizontal="left" vertical="center" wrapText="1" indent="1"/>
    </xf>
    <xf numFmtId="0" fontId="11" fillId="2" borderId="39" xfId="0" applyFont="1" applyFill="1" applyBorder="1" applyAlignment="1">
      <alignment horizontal="left" vertical="center" wrapText="1" indent="1"/>
    </xf>
    <xf numFmtId="0" fontId="11" fillId="2" borderId="40" xfId="0" applyFont="1" applyFill="1" applyBorder="1" applyAlignment="1">
      <alignment horizontal="left" vertical="center" wrapText="1" indent="1"/>
    </xf>
    <xf numFmtId="0" fontId="11" fillId="2" borderId="41" xfId="0" applyFont="1" applyFill="1" applyBorder="1" applyAlignment="1">
      <alignment horizontal="left" vertical="center" wrapText="1" indent="1"/>
    </xf>
    <xf numFmtId="0" fontId="11" fillId="2" borderId="0" xfId="0" applyFont="1" applyFill="1" applyBorder="1" applyAlignment="1">
      <alignment horizontal="left" vertical="center" wrapText="1" indent="1"/>
    </xf>
    <xf numFmtId="0" fontId="11" fillId="2" borderId="37" xfId="0" applyFont="1" applyFill="1" applyBorder="1" applyAlignment="1">
      <alignment horizontal="left" vertical="center" wrapText="1" indent="1"/>
    </xf>
    <xf numFmtId="0" fontId="13" fillId="2" borderId="141" xfId="0" applyFont="1" applyFill="1" applyBorder="1" applyAlignment="1">
      <alignment horizontal="center" vertical="center" wrapText="1"/>
    </xf>
    <xf numFmtId="0" fontId="13" fillId="2" borderId="142" xfId="0" applyFont="1" applyFill="1" applyBorder="1" applyAlignment="1">
      <alignment horizontal="center" vertical="center" wrapText="1"/>
    </xf>
    <xf numFmtId="0" fontId="14" fillId="2" borderId="0" xfId="0" applyFont="1" applyFill="1" applyBorder="1" applyAlignment="1">
      <alignment horizontal="center" vertical="center"/>
    </xf>
    <xf numFmtId="0" fontId="14" fillId="2" borderId="145" xfId="0" applyFont="1" applyFill="1" applyBorder="1" applyAlignment="1">
      <alignment horizontal="center" vertical="center"/>
    </xf>
    <xf numFmtId="0" fontId="14" fillId="2" borderId="148" xfId="0" applyFont="1" applyFill="1" applyBorder="1" applyAlignment="1">
      <alignment horizontal="center" vertical="center"/>
    </xf>
    <xf numFmtId="0" fontId="14" fillId="2" borderId="149" xfId="0" applyFont="1" applyFill="1" applyBorder="1" applyAlignment="1">
      <alignment horizontal="center" vertical="center"/>
    </xf>
    <xf numFmtId="0" fontId="13" fillId="2" borderId="5" xfId="0" applyFont="1" applyFill="1" applyBorder="1" applyAlignment="1">
      <alignment horizontal="left" vertical="center" wrapText="1" indent="1"/>
    </xf>
    <xf numFmtId="0" fontId="13" fillId="2" borderId="6" xfId="0" applyFont="1" applyFill="1" applyBorder="1" applyAlignment="1">
      <alignment horizontal="left" vertical="center" wrapText="1" indent="1"/>
    </xf>
    <xf numFmtId="176" fontId="11" fillId="2" borderId="9" xfId="0" applyNumberFormat="1" applyFont="1" applyFill="1" applyBorder="1" applyAlignment="1" applyProtection="1">
      <alignment horizontal="left" vertical="center" indent="1"/>
      <protection locked="0"/>
    </xf>
    <xf numFmtId="0" fontId="11" fillId="3" borderId="9" xfId="0" applyFont="1" applyFill="1" applyBorder="1" applyAlignment="1" applyProtection="1">
      <alignment horizontal="left" vertical="center" indent="1"/>
      <protection locked="0"/>
    </xf>
    <xf numFmtId="0" fontId="11" fillId="0" borderId="9" xfId="0" applyFont="1" applyFill="1" applyBorder="1" applyAlignment="1" applyProtection="1">
      <alignment horizontal="left" vertical="center" indent="1"/>
      <protection locked="0"/>
    </xf>
    <xf numFmtId="58" fontId="11" fillId="0" borderId="17" xfId="0" applyNumberFormat="1" applyFont="1" applyFill="1" applyBorder="1" applyAlignment="1" applyProtection="1">
      <alignment horizontal="left" vertical="center" indent="1"/>
      <protection locked="0"/>
    </xf>
    <xf numFmtId="58" fontId="11" fillId="0" borderId="18" xfId="0" applyNumberFormat="1" applyFont="1" applyFill="1" applyBorder="1" applyAlignment="1" applyProtection="1">
      <alignment horizontal="left" vertical="center" indent="1"/>
      <protection locked="0"/>
    </xf>
    <xf numFmtId="58" fontId="11" fillId="0" borderId="19" xfId="0" applyNumberFormat="1" applyFont="1" applyFill="1" applyBorder="1" applyAlignment="1" applyProtection="1">
      <alignment horizontal="left" vertical="center" indent="1"/>
      <protection locked="0"/>
    </xf>
    <xf numFmtId="58" fontId="11" fillId="0" borderId="9" xfId="0" applyNumberFormat="1" applyFont="1" applyFill="1" applyBorder="1" applyAlignment="1" applyProtection="1">
      <alignment horizontal="left" vertical="center" indent="1"/>
      <protection locked="0"/>
    </xf>
    <xf numFmtId="38" fontId="11" fillId="0" borderId="9" xfId="17" applyFont="1" applyFill="1" applyBorder="1" applyAlignment="1" applyProtection="1">
      <alignment horizontal="left" vertical="center" indent="1"/>
      <protection locked="0"/>
    </xf>
    <xf numFmtId="0" fontId="11" fillId="0" borderId="9" xfId="0" applyFont="1" applyFill="1" applyBorder="1" applyAlignment="1" applyProtection="1">
      <alignment horizontal="left" vertical="center"/>
      <protection locked="0"/>
    </xf>
    <xf numFmtId="0" fontId="11" fillId="0" borderId="38" xfId="0" applyFont="1" applyFill="1" applyBorder="1" applyAlignment="1" applyProtection="1">
      <alignment horizontal="center" vertical="center"/>
      <protection locked="0"/>
    </xf>
    <xf numFmtId="0" fontId="11" fillId="0" borderId="40" xfId="0" applyFont="1" applyFill="1" applyBorder="1" applyAlignment="1" applyProtection="1">
      <alignment horizontal="center" vertical="center"/>
      <protection locked="0"/>
    </xf>
    <xf numFmtId="0" fontId="11" fillId="0" borderId="17" xfId="0" applyFont="1" applyFill="1" applyBorder="1" applyAlignment="1" applyProtection="1">
      <alignment horizontal="center" vertical="center"/>
      <protection locked="0"/>
    </xf>
    <xf numFmtId="0" fontId="11" fillId="0" borderId="19" xfId="0" applyFont="1" applyFill="1" applyBorder="1" applyAlignment="1" applyProtection="1">
      <alignment horizontal="center" vertical="center"/>
      <protection locked="0"/>
    </xf>
    <xf numFmtId="0" fontId="15" fillId="0" borderId="17" xfId="0" applyFont="1" applyFill="1" applyBorder="1" applyAlignment="1" applyProtection="1">
      <alignment horizontal="center" vertical="center"/>
      <protection locked="0"/>
    </xf>
    <xf numFmtId="0" fontId="15" fillId="0" borderId="19" xfId="0" applyFont="1" applyFill="1" applyBorder="1" applyAlignment="1" applyProtection="1">
      <alignment horizontal="center" vertical="center"/>
      <protection locked="0"/>
    </xf>
    <xf numFmtId="0" fontId="16" fillId="0" borderId="34" xfId="0" applyFont="1" applyFill="1" applyBorder="1" applyAlignment="1" applyProtection="1">
      <alignment horizontal="center" vertical="center"/>
      <protection locked="0"/>
    </xf>
    <xf numFmtId="0" fontId="16" fillId="0" borderId="35" xfId="0" applyFont="1" applyFill="1" applyBorder="1" applyAlignment="1" applyProtection="1">
      <alignment horizontal="center" vertical="center"/>
      <protection locked="0"/>
    </xf>
    <xf numFmtId="0" fontId="11" fillId="6" borderId="17" xfId="0" applyFont="1" applyFill="1" applyBorder="1" applyAlignment="1" applyProtection="1">
      <alignment horizontal="left" vertical="center"/>
      <protection locked="0"/>
    </xf>
    <xf numFmtId="0" fontId="11" fillId="6" borderId="18" xfId="0" applyFont="1" applyFill="1" applyBorder="1" applyAlignment="1" applyProtection="1">
      <alignment horizontal="left" vertical="center"/>
      <protection locked="0"/>
    </xf>
    <xf numFmtId="0" fontId="11" fillId="6" borderId="39" xfId="0" applyFont="1" applyFill="1" applyBorder="1" applyAlignment="1" applyProtection="1">
      <alignment horizontal="left" vertical="center"/>
      <protection locked="0"/>
    </xf>
    <xf numFmtId="0" fontId="11" fillId="6" borderId="40" xfId="0" applyFont="1" applyFill="1" applyBorder="1" applyAlignment="1" applyProtection="1">
      <alignment horizontal="left" vertical="center"/>
      <protection locked="0"/>
    </xf>
    <xf numFmtId="0" fontId="12" fillId="2" borderId="17" xfId="0" applyFont="1" applyFill="1" applyBorder="1" applyAlignment="1">
      <alignment horizontal="center" vertical="center"/>
    </xf>
    <xf numFmtId="0" fontId="12" fillId="2" borderId="19" xfId="0" applyFont="1" applyFill="1" applyBorder="1" applyAlignment="1">
      <alignment horizontal="center" vertical="center"/>
    </xf>
    <xf numFmtId="0" fontId="11" fillId="2" borderId="36" xfId="0" applyFont="1" applyFill="1" applyBorder="1" applyAlignment="1">
      <alignment vertical="center" wrapText="1"/>
    </xf>
    <xf numFmtId="0" fontId="11" fillId="2" borderId="150" xfId="0" applyFont="1" applyFill="1" applyBorder="1" applyAlignment="1">
      <alignment vertical="center" wrapText="1"/>
    </xf>
    <xf numFmtId="0" fontId="11" fillId="2" borderId="20" xfId="0" applyFont="1" applyFill="1" applyBorder="1" applyAlignment="1">
      <alignment vertical="center" wrapText="1"/>
    </xf>
    <xf numFmtId="0" fontId="13" fillId="2" borderId="38" xfId="0" applyFont="1" applyFill="1" applyBorder="1" applyAlignment="1">
      <alignment horizontal="center" vertical="center"/>
    </xf>
    <xf numFmtId="0" fontId="13" fillId="2" borderId="40" xfId="0" applyFont="1" applyFill="1" applyBorder="1" applyAlignment="1">
      <alignment horizontal="center" vertical="center"/>
    </xf>
    <xf numFmtId="0" fontId="12" fillId="2" borderId="151" xfId="0" applyFont="1" applyFill="1" applyBorder="1" applyAlignment="1" applyProtection="1">
      <alignment horizontal="center" vertical="center"/>
      <protection locked="0"/>
    </xf>
    <xf numFmtId="0" fontId="12" fillId="2" borderId="152" xfId="0" applyFont="1" applyFill="1" applyBorder="1" applyAlignment="1" applyProtection="1">
      <alignment horizontal="center" vertical="center"/>
      <protection locked="0"/>
    </xf>
    <xf numFmtId="9" fontId="12" fillId="3" borderId="9" xfId="15" applyFont="1" applyFill="1" applyBorder="1" applyAlignment="1" applyProtection="1">
      <alignment horizontal="center" vertical="center"/>
      <protection locked="0"/>
    </xf>
    <xf numFmtId="176" fontId="11" fillId="2" borderId="9" xfId="0" applyNumberFormat="1" applyFont="1" applyFill="1" applyBorder="1" applyAlignment="1">
      <alignment horizontal="center" vertical="center"/>
    </xf>
    <xf numFmtId="9" fontId="13" fillId="2" borderId="39" xfId="15" applyFont="1" applyFill="1" applyBorder="1" applyAlignment="1">
      <alignment horizontal="left" vertical="center" wrapText="1" indent="1"/>
    </xf>
    <xf numFmtId="9" fontId="13" fillId="2" borderId="40" xfId="15" applyFont="1" applyFill="1" applyBorder="1" applyAlignment="1">
      <alignment horizontal="left" vertical="center" wrapText="1" indent="1"/>
    </xf>
    <xf numFmtId="9" fontId="13" fillId="2" borderId="0" xfId="15" applyFont="1" applyFill="1" applyBorder="1" applyAlignment="1">
      <alignment horizontal="left" vertical="center" wrapText="1" indent="1"/>
    </xf>
    <xf numFmtId="9" fontId="13" fillId="2" borderId="37" xfId="15" applyFont="1" applyFill="1" applyBorder="1" applyAlignment="1">
      <alignment horizontal="left" vertical="center" wrapText="1" indent="1"/>
    </xf>
    <xf numFmtId="9" fontId="13" fillId="2" borderId="42" xfId="15" applyFont="1" applyFill="1" applyBorder="1" applyAlignment="1">
      <alignment horizontal="left" vertical="center" wrapText="1" indent="1"/>
    </xf>
    <xf numFmtId="9" fontId="13" fillId="2" borderId="35" xfId="15" applyFont="1" applyFill="1" applyBorder="1" applyAlignment="1">
      <alignment horizontal="left" vertical="center" wrapText="1" indent="1"/>
    </xf>
    <xf numFmtId="0" fontId="11" fillId="2" borderId="153" xfId="0" applyFont="1" applyFill="1" applyBorder="1" applyAlignment="1" applyProtection="1">
      <alignment horizontal="center" vertical="center"/>
      <protection locked="0"/>
    </xf>
    <xf numFmtId="0" fontId="11" fillId="2" borderId="154" xfId="0" applyFont="1" applyFill="1" applyBorder="1" applyAlignment="1" applyProtection="1">
      <alignment horizontal="center" vertical="center"/>
      <protection locked="0"/>
    </xf>
    <xf numFmtId="9" fontId="13" fillId="2" borderId="9" xfId="15" applyFont="1" applyFill="1" applyBorder="1" applyAlignment="1">
      <alignment horizontal="center" vertical="center"/>
    </xf>
    <xf numFmtId="0" fontId="13" fillId="2" borderId="155"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153" xfId="0" applyFont="1" applyFill="1" applyBorder="1" applyAlignment="1">
      <alignment horizontal="center" vertical="center"/>
    </xf>
    <xf numFmtId="0" fontId="13" fillId="2" borderId="154" xfId="0" applyFont="1" applyFill="1" applyBorder="1" applyAlignment="1">
      <alignment horizontal="center" vertical="center"/>
    </xf>
    <xf numFmtId="0" fontId="13" fillId="2" borderId="75" xfId="0" applyFont="1" applyFill="1" applyBorder="1" applyAlignment="1">
      <alignment vertical="center" wrapText="1"/>
    </xf>
    <xf numFmtId="0" fontId="13" fillId="2" borderId="157" xfId="0" applyFont="1" applyFill="1" applyBorder="1" applyAlignment="1">
      <alignment vertical="center" wrapText="1"/>
    </xf>
    <xf numFmtId="0" fontId="13" fillId="2" borderId="158" xfId="0" applyFont="1" applyFill="1" applyBorder="1" applyAlignment="1">
      <alignment vertical="center" wrapText="1"/>
    </xf>
    <xf numFmtId="0" fontId="13" fillId="2" borderId="159" xfId="0" applyFont="1" applyFill="1" applyBorder="1" applyAlignment="1">
      <alignment vertical="center" wrapText="1"/>
    </xf>
    <xf numFmtId="0" fontId="13" fillId="2" borderId="160" xfId="0" applyFont="1" applyFill="1" applyBorder="1" applyAlignment="1">
      <alignment vertical="center" wrapText="1"/>
    </xf>
    <xf numFmtId="0" fontId="13" fillId="2" borderId="161" xfId="0" applyFont="1" applyFill="1" applyBorder="1" applyAlignment="1">
      <alignment vertical="center" wrapText="1"/>
    </xf>
    <xf numFmtId="0" fontId="13" fillId="2" borderId="61" xfId="0" applyFont="1" applyFill="1" applyBorder="1" applyAlignment="1">
      <alignment horizontal="left" vertical="center" wrapText="1"/>
    </xf>
    <xf numFmtId="0" fontId="13" fillId="2" borderId="162" xfId="0" applyFont="1" applyFill="1" applyBorder="1" applyAlignment="1">
      <alignment horizontal="left" vertical="center" wrapText="1"/>
    </xf>
    <xf numFmtId="0" fontId="13" fillId="2" borderId="58" xfId="0" applyFont="1" applyFill="1" applyBorder="1" applyAlignment="1">
      <alignment horizontal="left" vertical="center" wrapText="1"/>
    </xf>
    <xf numFmtId="0" fontId="13" fillId="2" borderId="163" xfId="0" applyFont="1" applyFill="1" applyBorder="1" applyAlignment="1">
      <alignment horizontal="left" vertical="center" wrapText="1"/>
    </xf>
    <xf numFmtId="0" fontId="23" fillId="7" borderId="9" xfId="0" applyFont="1" applyFill="1" applyBorder="1" applyAlignment="1" applyProtection="1">
      <alignment horizontal="center" vertical="center"/>
      <protection locked="0"/>
    </xf>
    <xf numFmtId="0" fontId="22" fillId="7" borderId="9" xfId="0" applyFont="1" applyFill="1" applyBorder="1" applyAlignment="1">
      <alignment horizontal="center" vertical="center"/>
    </xf>
    <xf numFmtId="0" fontId="22" fillId="7" borderId="17" xfId="0" applyFont="1" applyFill="1" applyBorder="1" applyAlignment="1">
      <alignment horizontal="center" vertical="center"/>
    </xf>
    <xf numFmtId="0" fontId="22" fillId="7" borderId="19" xfId="0" applyFont="1" applyFill="1" applyBorder="1" applyAlignment="1">
      <alignment horizontal="center" vertical="center"/>
    </xf>
    <xf numFmtId="0" fontId="13" fillId="2" borderId="0" xfId="0" applyFont="1" applyFill="1" applyAlignment="1">
      <alignment horizontal="left" vertical="top" wrapText="1" indent="1"/>
    </xf>
    <xf numFmtId="0" fontId="11" fillId="3" borderId="164" xfId="0" applyFont="1" applyFill="1" applyBorder="1" applyAlignment="1" applyProtection="1">
      <alignment horizontal="left" vertical="center"/>
      <protection locked="0"/>
    </xf>
    <xf numFmtId="0" fontId="11" fillId="3" borderId="165" xfId="0" applyFont="1" applyFill="1" applyBorder="1" applyAlignment="1" applyProtection="1">
      <alignment horizontal="left" vertical="center"/>
      <protection locked="0"/>
    </xf>
    <xf numFmtId="0" fontId="11" fillId="3" borderId="166" xfId="0" applyFont="1" applyFill="1" applyBorder="1" applyAlignment="1" applyProtection="1">
      <alignment horizontal="left" vertical="center"/>
      <protection locked="0"/>
    </xf>
    <xf numFmtId="0" fontId="13" fillId="2" borderId="75" xfId="0" applyFont="1" applyFill="1" applyBorder="1" applyAlignment="1">
      <alignment horizontal="left" vertical="center" wrapText="1"/>
    </xf>
    <xf numFmtId="0" fontId="13" fillId="2" borderId="157" xfId="0" applyFont="1" applyFill="1" applyBorder="1" applyAlignment="1">
      <alignment horizontal="left" vertical="center" wrapText="1"/>
    </xf>
    <xf numFmtId="0" fontId="13" fillId="2" borderId="160" xfId="0" applyFont="1" applyFill="1" applyBorder="1" applyAlignment="1">
      <alignment horizontal="left" vertical="center" wrapText="1"/>
    </xf>
    <xf numFmtId="0" fontId="13" fillId="2" borderId="161" xfId="0" applyFont="1" applyFill="1" applyBorder="1" applyAlignment="1">
      <alignment horizontal="left" vertical="center" wrapText="1"/>
    </xf>
    <xf numFmtId="0" fontId="13" fillId="2" borderId="167" xfId="0" applyFont="1" applyFill="1" applyBorder="1" applyAlignment="1">
      <alignment horizontal="left" vertical="center" wrapText="1"/>
    </xf>
    <xf numFmtId="0" fontId="13" fillId="2" borderId="168" xfId="0" applyFont="1" applyFill="1" applyBorder="1" applyAlignment="1">
      <alignment horizontal="left" vertical="center" wrapText="1"/>
    </xf>
    <xf numFmtId="0" fontId="13" fillId="2" borderId="41" xfId="0" applyFont="1" applyFill="1" applyBorder="1" applyAlignment="1">
      <alignment horizontal="left" vertical="center" wrapText="1" indent="1"/>
    </xf>
    <xf numFmtId="0" fontId="13" fillId="2" borderId="0" xfId="0" applyFont="1" applyFill="1" applyAlignment="1">
      <alignment horizontal="left" vertical="center" wrapText="1" indent="1"/>
    </xf>
    <xf numFmtId="0" fontId="21" fillId="7" borderId="41" xfId="0" applyFont="1" applyFill="1" applyBorder="1" applyAlignment="1">
      <alignment horizontal="center" vertical="center"/>
    </xf>
    <xf numFmtId="0" fontId="21" fillId="7" borderId="0" xfId="0" applyFont="1" applyFill="1" applyBorder="1" applyAlignment="1">
      <alignment horizontal="center" vertical="center"/>
    </xf>
    <xf numFmtId="0" fontId="21" fillId="7" borderId="37" xfId="0" applyFont="1" applyFill="1" applyBorder="1" applyAlignment="1">
      <alignment horizontal="center" vertical="center"/>
    </xf>
    <xf numFmtId="0" fontId="21" fillId="7" borderId="34" xfId="0" applyFont="1" applyFill="1" applyBorder="1" applyAlignment="1">
      <alignment horizontal="center" vertical="center"/>
    </xf>
    <xf numFmtId="0" fontId="21" fillId="7" borderId="42" xfId="0" applyFont="1" applyFill="1" applyBorder="1" applyAlignment="1">
      <alignment horizontal="center" vertical="center"/>
    </xf>
    <xf numFmtId="0" fontId="21" fillId="7" borderId="35" xfId="0" applyFont="1" applyFill="1" applyBorder="1" applyAlignment="1">
      <alignment horizontal="center" vertical="center"/>
    </xf>
    <xf numFmtId="0" fontId="20" fillId="7" borderId="41" xfId="0" applyFont="1" applyFill="1" applyBorder="1" applyAlignment="1">
      <alignment horizontal="left" vertical="center" wrapText="1" indent="2"/>
    </xf>
    <xf numFmtId="0" fontId="20" fillId="7" borderId="0" xfId="0" applyFont="1" applyFill="1" applyBorder="1" applyAlignment="1">
      <alignment horizontal="left" vertical="center" wrapText="1" indent="2"/>
    </xf>
    <xf numFmtId="0" fontId="20" fillId="7" borderId="37" xfId="0" applyFont="1" applyFill="1" applyBorder="1" applyAlignment="1">
      <alignment horizontal="left" vertical="center" wrapText="1" indent="2"/>
    </xf>
    <xf numFmtId="0" fontId="19" fillId="7" borderId="38" xfId="0" applyFont="1" applyFill="1" applyBorder="1" applyAlignment="1">
      <alignment horizontal="center" vertical="center"/>
    </xf>
    <xf numFmtId="0" fontId="19" fillId="7" borderId="39" xfId="0" applyFont="1" applyFill="1" applyBorder="1" applyAlignment="1">
      <alignment horizontal="center" vertical="center"/>
    </xf>
    <xf numFmtId="0" fontId="19" fillId="7" borderId="40" xfId="0" applyFont="1" applyFill="1" applyBorder="1" applyAlignment="1">
      <alignment horizontal="center" vertical="center"/>
    </xf>
    <xf numFmtId="0" fontId="19" fillId="7" borderId="41" xfId="0" applyFont="1" applyFill="1" applyBorder="1" applyAlignment="1">
      <alignment horizontal="center" vertical="center"/>
    </xf>
    <xf numFmtId="0" fontId="19" fillId="7" borderId="0" xfId="0" applyFont="1" applyFill="1" applyBorder="1" applyAlignment="1">
      <alignment horizontal="center" vertical="center"/>
    </xf>
    <xf numFmtId="0" fontId="19" fillId="7" borderId="37" xfId="0" applyFont="1" applyFill="1" applyBorder="1" applyAlignment="1">
      <alignment horizontal="center" vertical="center"/>
    </xf>
    <xf numFmtId="0" fontId="20" fillId="7" borderId="41" xfId="0" applyFont="1" applyFill="1" applyBorder="1" applyAlignment="1">
      <alignment horizontal="center" vertical="center"/>
    </xf>
    <xf numFmtId="0" fontId="20" fillId="7" borderId="0" xfId="0" applyFont="1" applyFill="1" applyBorder="1" applyAlignment="1">
      <alignment horizontal="center" vertical="center"/>
    </xf>
    <xf numFmtId="0" fontId="20" fillId="7" borderId="37" xfId="0" applyFont="1" applyFill="1" applyBorder="1" applyAlignment="1">
      <alignment horizontal="center" vertical="center"/>
    </xf>
    <xf numFmtId="0" fontId="26" fillId="0" borderId="0" xfId="0" applyFont="1" applyBorder="1" applyAlignment="1">
      <alignment horizontal="right" vertical="center"/>
    </xf>
    <xf numFmtId="58" fontId="26" fillId="0" borderId="0" xfId="0" applyNumberFormat="1" applyFont="1" applyBorder="1" applyAlignment="1">
      <alignment vertical="center"/>
    </xf>
    <xf numFmtId="0" fontId="29" fillId="0" borderId="0" xfId="0" applyFont="1" applyBorder="1" applyAlignment="1">
      <alignment horizontal="distributed" vertical="center"/>
    </xf>
    <xf numFmtId="0" fontId="30" fillId="0" borderId="0" xfId="0" applyFont="1" applyBorder="1" applyAlignment="1">
      <alignment horizontal="center" vertical="center"/>
    </xf>
    <xf numFmtId="0" fontId="25" fillId="0" borderId="0" xfId="0" applyFont="1" applyBorder="1" applyAlignment="1">
      <alignment horizontal="center" vertical="center"/>
    </xf>
    <xf numFmtId="0" fontId="28" fillId="0" borderId="0" xfId="0" applyFont="1" applyBorder="1" applyAlignment="1">
      <alignment horizontal="center" vertical="center"/>
    </xf>
    <xf numFmtId="0" fontId="8" fillId="0" borderId="0" xfId="0" applyFont="1" applyBorder="1" applyAlignment="1">
      <alignment horizontal="left" vertical="top" wrapText="1" indent="1"/>
    </xf>
    <xf numFmtId="0" fontId="27" fillId="0" borderId="0" xfId="0" applyFont="1" applyBorder="1" applyAlignment="1">
      <alignment horizontal="left" vertical="center" indent="1"/>
    </xf>
    <xf numFmtId="0" fontId="26" fillId="0" borderId="0" xfId="0" applyFont="1" applyBorder="1" applyAlignment="1">
      <alignment horizontal="left" vertical="center" indent="1"/>
    </xf>
    <xf numFmtId="58" fontId="26" fillId="0" borderId="0" xfId="0" applyNumberFormat="1" applyFont="1" applyBorder="1" applyAlignment="1">
      <alignment horizontal="left" vertical="center" indent="1"/>
    </xf>
    <xf numFmtId="0" fontId="8" fillId="0" borderId="93" xfId="0" applyFont="1" applyBorder="1" applyAlignment="1">
      <alignment horizontal="center" vertical="center"/>
    </xf>
    <xf numFmtId="0" fontId="8" fillId="0" borderId="126" xfId="0" applyFont="1" applyBorder="1" applyAlignment="1">
      <alignment horizontal="center" vertical="center"/>
    </xf>
    <xf numFmtId="0" fontId="8" fillId="0" borderId="130" xfId="0" applyFont="1" applyBorder="1" applyAlignment="1">
      <alignment horizontal="center" vertical="center"/>
    </xf>
    <xf numFmtId="206" fontId="28" fillId="0" borderId="78" xfId="0" applyNumberFormat="1" applyFont="1" applyBorder="1" applyAlignment="1" applyProtection="1">
      <alignment horizontal="center" vertical="center"/>
      <protection locked="0"/>
    </xf>
    <xf numFmtId="206" fontId="28" fillId="0" borderId="83" xfId="0" applyNumberFormat="1" applyFont="1" applyBorder="1" applyAlignment="1" applyProtection="1">
      <alignment horizontal="center" vertical="center"/>
      <protection locked="0"/>
    </xf>
    <xf numFmtId="206" fontId="28" fillId="0" borderId="84" xfId="0" applyNumberFormat="1" applyFont="1" applyBorder="1" applyAlignment="1" applyProtection="1">
      <alignment horizontal="center" vertical="center"/>
      <protection locked="0"/>
    </xf>
    <xf numFmtId="0" fontId="8" fillId="0" borderId="94" xfId="0" applyFont="1" applyBorder="1" applyAlignment="1">
      <alignment horizontal="center" vertical="center"/>
    </xf>
    <xf numFmtId="0" fontId="8" fillId="0" borderId="90" xfId="0" applyFont="1" applyBorder="1" applyAlignment="1">
      <alignment horizontal="center" vertical="center"/>
    </xf>
    <xf numFmtId="0" fontId="8" fillId="0" borderId="98" xfId="0" applyFont="1" applyBorder="1" applyAlignment="1">
      <alignment horizontal="center" vertical="center"/>
    </xf>
    <xf numFmtId="206" fontId="29" fillId="0" borderId="119" xfId="0" applyNumberFormat="1" applyFont="1" applyBorder="1" applyAlignment="1" applyProtection="1">
      <alignment horizontal="right" vertical="center"/>
      <protection locked="0"/>
    </xf>
    <xf numFmtId="206" fontId="29" fillId="0" borderId="120" xfId="0" applyNumberFormat="1" applyFont="1" applyBorder="1" applyAlignment="1" applyProtection="1">
      <alignment horizontal="right" vertical="center"/>
      <protection locked="0"/>
    </xf>
    <xf numFmtId="206" fontId="29" fillId="0" borderId="122" xfId="0" applyNumberFormat="1" applyFont="1" applyBorder="1" applyAlignment="1" applyProtection="1">
      <alignment horizontal="right" vertical="center"/>
      <protection locked="0"/>
    </xf>
    <xf numFmtId="206" fontId="29" fillId="0" borderId="123" xfId="0" applyNumberFormat="1" applyFont="1" applyBorder="1" applyAlignment="1" applyProtection="1">
      <alignment horizontal="right" vertical="center"/>
      <protection locked="0"/>
    </xf>
    <xf numFmtId="0" fontId="8" fillId="0" borderId="169" xfId="0" applyFont="1" applyFill="1" applyBorder="1" applyAlignment="1">
      <alignment horizontal="left" vertical="center" wrapText="1" indent="1"/>
    </xf>
    <xf numFmtId="0" fontId="8" fillId="0" borderId="170" xfId="0" applyFont="1" applyFill="1" applyBorder="1" applyAlignment="1">
      <alignment horizontal="left" vertical="center" wrapText="1" indent="1"/>
    </xf>
    <xf numFmtId="0" fontId="8" fillId="0" borderId="171" xfId="0" applyFont="1" applyFill="1" applyBorder="1" applyAlignment="1">
      <alignment horizontal="left" vertical="center" wrapText="1" indent="1"/>
    </xf>
    <xf numFmtId="0" fontId="8" fillId="0" borderId="98" xfId="0" applyFont="1" applyFill="1" applyBorder="1" applyAlignment="1">
      <alignment horizontal="left" vertical="center" wrapText="1" indent="1"/>
    </xf>
    <xf numFmtId="0" fontId="8" fillId="0" borderId="97" xfId="0" applyFont="1" applyFill="1" applyBorder="1" applyAlignment="1">
      <alignment horizontal="center" vertical="center"/>
    </xf>
    <xf numFmtId="0" fontId="8" fillId="0" borderId="96" xfId="0" applyFont="1" applyFill="1" applyBorder="1" applyAlignment="1">
      <alignment horizontal="center" vertical="center"/>
    </xf>
    <xf numFmtId="0" fontId="8" fillId="0" borderId="172" xfId="0" applyFont="1" applyFill="1" applyBorder="1" applyAlignment="1">
      <alignment horizontal="center" vertical="center"/>
    </xf>
    <xf numFmtId="0" fontId="8" fillId="0" borderId="119" xfId="0" applyFont="1" applyFill="1" applyBorder="1" applyAlignment="1">
      <alignment horizontal="center" vertical="center"/>
    </xf>
    <xf numFmtId="0" fontId="8" fillId="0" borderId="128" xfId="0" applyFont="1" applyFill="1" applyBorder="1" applyAlignment="1">
      <alignment horizontal="center" vertical="center"/>
    </xf>
    <xf numFmtId="0" fontId="8" fillId="0" borderId="121" xfId="0" applyFont="1" applyFill="1" applyBorder="1" applyAlignment="1">
      <alignment horizontal="center" vertical="center"/>
    </xf>
    <xf numFmtId="0" fontId="8" fillId="0" borderId="127" xfId="0" applyFont="1" applyFill="1" applyBorder="1" applyAlignment="1">
      <alignment horizontal="center" vertical="center"/>
    </xf>
    <xf numFmtId="0" fontId="8" fillId="0" borderId="120" xfId="0" applyFont="1" applyFill="1" applyBorder="1" applyAlignment="1">
      <alignment horizontal="center" vertical="center"/>
    </xf>
    <xf numFmtId="0" fontId="8" fillId="0" borderId="85" xfId="0" applyFont="1" applyFill="1" applyBorder="1" applyAlignment="1">
      <alignment horizontal="center" vertical="center"/>
    </xf>
    <xf numFmtId="0" fontId="8" fillId="0" borderId="68" xfId="0" applyFont="1" applyFill="1" applyBorder="1" applyAlignment="1">
      <alignment horizontal="center" vertical="center"/>
    </xf>
    <xf numFmtId="0" fontId="8" fillId="0" borderId="18" xfId="0" applyFont="1" applyFill="1" applyBorder="1" applyAlignment="1">
      <alignment horizontal="center" vertical="center"/>
    </xf>
    <xf numFmtId="0" fontId="27" fillId="0" borderId="173" xfId="0" applyFont="1" applyFill="1" applyBorder="1" applyAlignment="1">
      <alignment horizontal="left" vertical="center" wrapText="1" indent="1"/>
    </xf>
    <xf numFmtId="0" fontId="27" fillId="0" borderId="87" xfId="0" applyFont="1" applyFill="1" applyBorder="1" applyAlignment="1">
      <alignment horizontal="left" vertical="center" wrapText="1" indent="1"/>
    </xf>
    <xf numFmtId="0" fontId="27" fillId="0" borderId="88" xfId="0" applyFont="1" applyFill="1" applyBorder="1" applyAlignment="1">
      <alignment horizontal="left" vertical="center" wrapText="1" indent="1"/>
    </xf>
    <xf numFmtId="0" fontId="27" fillId="0" borderId="174" xfId="0" applyFont="1" applyFill="1" applyBorder="1" applyAlignment="1">
      <alignment horizontal="left" vertical="center" wrapText="1" indent="1"/>
    </xf>
    <xf numFmtId="0" fontId="27" fillId="0" borderId="0" xfId="0" applyFont="1" applyFill="1" applyBorder="1" applyAlignment="1">
      <alignment horizontal="left" vertical="center" wrapText="1" indent="1"/>
    </xf>
    <xf numFmtId="0" fontId="27" fillId="0" borderId="37" xfId="0" applyFont="1" applyFill="1" applyBorder="1" applyAlignment="1">
      <alignment horizontal="left" vertical="center" wrapText="1" indent="1"/>
    </xf>
    <xf numFmtId="0" fontId="27" fillId="0" borderId="175" xfId="0" applyFont="1" applyFill="1" applyBorder="1" applyAlignment="1">
      <alignment horizontal="left" vertical="center" wrapText="1" indent="1"/>
    </xf>
    <xf numFmtId="0" fontId="27" fillId="0" borderId="176" xfId="0" applyFont="1" applyFill="1" applyBorder="1" applyAlignment="1">
      <alignment horizontal="left" vertical="center" wrapText="1" indent="1"/>
    </xf>
    <xf numFmtId="0" fontId="27" fillId="0" borderId="177" xfId="0" applyFont="1" applyFill="1" applyBorder="1" applyAlignment="1">
      <alignment horizontal="left" vertical="center" wrapText="1" indent="1"/>
    </xf>
    <xf numFmtId="0" fontId="27" fillId="0" borderId="89" xfId="0" applyFont="1" applyFill="1" applyBorder="1" applyAlignment="1">
      <alignment horizontal="center" vertical="center"/>
    </xf>
    <xf numFmtId="0" fontId="27" fillId="0" borderId="178" xfId="0" applyFont="1" applyFill="1" applyBorder="1" applyAlignment="1">
      <alignment horizontal="center" vertical="center"/>
    </xf>
    <xf numFmtId="0" fontId="27" fillId="0" borderId="173" xfId="0" applyFont="1" applyBorder="1" applyAlignment="1">
      <alignment horizontal="left" vertical="center" wrapText="1" indent="1"/>
    </xf>
    <xf numFmtId="0" fontId="27" fillId="0" borderId="87" xfId="0" applyFont="1" applyBorder="1" applyAlignment="1">
      <alignment horizontal="left" vertical="center" wrapText="1" indent="1"/>
    </xf>
    <xf numFmtId="0" fontId="27" fillId="0" borderId="88" xfId="0" applyFont="1" applyBorder="1" applyAlignment="1">
      <alignment horizontal="left" vertical="center" wrapText="1" indent="1"/>
    </xf>
    <xf numFmtId="0" fontId="27" fillId="0" borderId="174" xfId="0" applyFont="1" applyBorder="1" applyAlignment="1">
      <alignment horizontal="left" vertical="center" wrapText="1" indent="1"/>
    </xf>
    <xf numFmtId="0" fontId="27" fillId="0" borderId="0" xfId="0" applyFont="1" applyBorder="1" applyAlignment="1">
      <alignment horizontal="left" vertical="center" wrapText="1" indent="1"/>
    </xf>
    <xf numFmtId="0" fontId="27" fillId="0" borderId="37" xfId="0" applyFont="1" applyBorder="1" applyAlignment="1">
      <alignment horizontal="left" vertical="center" wrapText="1" indent="1"/>
    </xf>
    <xf numFmtId="0" fontId="27" fillId="0" borderId="175" xfId="0" applyFont="1" applyBorder="1" applyAlignment="1">
      <alignment horizontal="left" vertical="center" wrapText="1" indent="1"/>
    </xf>
    <xf numFmtId="0" fontId="27" fillId="0" borderId="176" xfId="0" applyFont="1" applyBorder="1" applyAlignment="1">
      <alignment horizontal="left" vertical="center" wrapText="1" indent="1"/>
    </xf>
    <xf numFmtId="0" fontId="27" fillId="0" borderId="177" xfId="0" applyFont="1" applyBorder="1" applyAlignment="1">
      <alignment horizontal="left" vertical="center" wrapText="1" indent="1"/>
    </xf>
    <xf numFmtId="0" fontId="27" fillId="0" borderId="179" xfId="0" applyFont="1" applyFill="1" applyBorder="1" applyAlignment="1">
      <alignment horizontal="distributed" vertical="center"/>
    </xf>
    <xf numFmtId="0" fontId="27" fillId="0" borderId="180" xfId="0" applyFont="1" applyFill="1" applyBorder="1" applyAlignment="1">
      <alignment horizontal="distributed" vertical="center"/>
    </xf>
    <xf numFmtId="0" fontId="27" fillId="0" borderId="89" xfId="0" applyFont="1" applyFill="1" applyBorder="1" applyAlignment="1">
      <alignment horizontal="distributed" vertical="center"/>
    </xf>
    <xf numFmtId="0" fontId="27" fillId="0" borderId="178" xfId="0" applyFont="1" applyFill="1" applyBorder="1" applyAlignment="1">
      <alignment horizontal="distributed" vertical="center"/>
    </xf>
    <xf numFmtId="0" fontId="27" fillId="0" borderId="119" xfId="0" applyFont="1" applyFill="1" applyBorder="1" applyAlignment="1">
      <alignment horizontal="distributed" vertical="center"/>
    </xf>
    <xf numFmtId="0" fontId="27" fillId="0" borderId="128" xfId="0" applyFont="1" applyFill="1" applyBorder="1" applyAlignment="1">
      <alignment horizontal="distributed" vertical="center"/>
    </xf>
    <xf numFmtId="178" fontId="27" fillId="0" borderId="119" xfId="0" applyNumberFormat="1" applyFont="1" applyFill="1" applyBorder="1" applyAlignment="1">
      <alignment horizontal="left" vertical="center" indent="2"/>
    </xf>
    <xf numFmtId="178" fontId="27" fillId="0" borderId="120" xfId="0" applyNumberFormat="1" applyFont="1" applyFill="1" applyBorder="1" applyAlignment="1">
      <alignment horizontal="left" vertical="center" indent="2"/>
    </xf>
    <xf numFmtId="178" fontId="27" fillId="0" borderId="77" xfId="0" applyNumberFormat="1" applyFont="1" applyFill="1" applyBorder="1" applyAlignment="1">
      <alignment horizontal="left" vertical="center" indent="2"/>
    </xf>
    <xf numFmtId="0" fontId="27" fillId="0" borderId="119" xfId="0" applyFont="1" applyFill="1" applyBorder="1" applyAlignment="1">
      <alignment horizontal="left" vertical="center" indent="2"/>
    </xf>
    <xf numFmtId="0" fontId="27" fillId="0" borderId="120" xfId="0" applyFont="1" applyFill="1" applyBorder="1" applyAlignment="1">
      <alignment horizontal="left" vertical="center" indent="2"/>
    </xf>
    <xf numFmtId="0" fontId="27" fillId="0" borderId="77" xfId="0" applyFont="1" applyFill="1" applyBorder="1" applyAlignment="1">
      <alignment horizontal="left" vertical="center" indent="2"/>
    </xf>
    <xf numFmtId="57" fontId="27" fillId="0" borderId="115" xfId="0" applyNumberFormat="1" applyFont="1" applyFill="1" applyBorder="1" applyAlignment="1">
      <alignment horizontal="left" vertical="center" wrapText="1" indent="1"/>
    </xf>
    <xf numFmtId="57" fontId="27" fillId="0" borderId="39" xfId="0" applyNumberFormat="1" applyFont="1" applyFill="1" applyBorder="1" applyAlignment="1">
      <alignment horizontal="left" vertical="center" wrapText="1" indent="1"/>
    </xf>
    <xf numFmtId="57" fontId="27" fillId="0" borderId="40" xfId="0" applyNumberFormat="1" applyFont="1" applyFill="1" applyBorder="1" applyAlignment="1">
      <alignment horizontal="left" vertical="center" wrapText="1" indent="1"/>
    </xf>
    <xf numFmtId="57" fontId="27" fillId="0" borderId="175" xfId="0" applyNumberFormat="1" applyFont="1" applyFill="1" applyBorder="1" applyAlignment="1">
      <alignment horizontal="left" vertical="center" wrapText="1" indent="1"/>
    </xf>
    <xf numFmtId="57" fontId="27" fillId="0" borderId="176" xfId="0" applyNumberFormat="1" applyFont="1" applyFill="1" applyBorder="1" applyAlignment="1">
      <alignment horizontal="left" vertical="center" wrapText="1" indent="1"/>
    </xf>
    <xf numFmtId="57" fontId="27" fillId="0" borderId="177" xfId="0" applyNumberFormat="1" applyFont="1" applyFill="1" applyBorder="1" applyAlignment="1">
      <alignment horizontal="left" vertical="center" wrapText="1" indent="1"/>
    </xf>
    <xf numFmtId="0" fontId="27" fillId="0" borderId="41" xfId="0" applyFont="1" applyFill="1" applyBorder="1" applyAlignment="1">
      <alignment horizontal="distributed" vertical="center"/>
    </xf>
    <xf numFmtId="0" fontId="27" fillId="0" borderId="181" xfId="0" applyFont="1" applyFill="1" applyBorder="1" applyAlignment="1">
      <alignment horizontal="distributed" vertical="center"/>
    </xf>
    <xf numFmtId="0" fontId="37" fillId="0" borderId="41" xfId="0" applyFont="1" applyFill="1" applyBorder="1" applyAlignment="1">
      <alignment horizontal="left" vertical="center" wrapText="1" indent="1"/>
    </xf>
    <xf numFmtId="0" fontId="37" fillId="0" borderId="181" xfId="0" applyFont="1" applyFill="1" applyBorder="1" applyAlignment="1">
      <alignment horizontal="left" vertical="center" wrapText="1" indent="1"/>
    </xf>
    <xf numFmtId="0" fontId="37" fillId="0" borderId="89" xfId="0" applyFont="1" applyFill="1" applyBorder="1" applyAlignment="1">
      <alignment horizontal="left" vertical="center" wrapText="1" indent="1"/>
    </xf>
    <xf numFmtId="0" fontId="37" fillId="0" borderId="178" xfId="0" applyFont="1" applyFill="1" applyBorder="1" applyAlignment="1">
      <alignment horizontal="left" vertical="center" wrapText="1" indent="1"/>
    </xf>
    <xf numFmtId="0" fontId="27" fillId="0" borderId="179" xfId="0" applyFont="1" applyFill="1" applyBorder="1" applyAlignment="1">
      <alignment horizontal="distributed" vertical="center" wrapText="1"/>
    </xf>
    <xf numFmtId="0" fontId="27" fillId="0" borderId="180" xfId="0" applyFont="1" applyFill="1" applyBorder="1" applyAlignment="1">
      <alignment horizontal="distributed" vertical="center" wrapText="1"/>
    </xf>
    <xf numFmtId="0" fontId="27" fillId="0" borderId="41" xfId="0" applyFont="1" applyFill="1" applyBorder="1" applyAlignment="1">
      <alignment horizontal="distributed" vertical="center" wrapText="1"/>
    </xf>
    <xf numFmtId="0" fontId="27" fillId="0" borderId="181" xfId="0" applyFont="1" applyFill="1" applyBorder="1" applyAlignment="1">
      <alignment horizontal="distributed" vertical="center" wrapText="1"/>
    </xf>
    <xf numFmtId="0" fontId="27" fillId="0" borderId="38" xfId="0" applyFont="1" applyFill="1" applyBorder="1" applyAlignment="1">
      <alignment horizontal="center" vertical="center"/>
    </xf>
    <xf numFmtId="0" fontId="27" fillId="0" borderId="114" xfId="0" applyFont="1" applyFill="1" applyBorder="1" applyAlignment="1">
      <alignment horizontal="center" vertical="center"/>
    </xf>
    <xf numFmtId="0" fontId="27" fillId="0" borderId="41" xfId="0" applyFont="1" applyFill="1" applyBorder="1" applyAlignment="1">
      <alignment horizontal="center" vertical="center"/>
    </xf>
    <xf numFmtId="0" fontId="27" fillId="0" borderId="181" xfId="0" applyFont="1" applyFill="1" applyBorder="1" applyAlignment="1">
      <alignment horizontal="center" vertical="center"/>
    </xf>
    <xf numFmtId="0" fontId="27" fillId="0" borderId="89" xfId="0" applyFont="1" applyFill="1" applyBorder="1" applyAlignment="1">
      <alignment horizontal="distributed" vertical="center" wrapText="1"/>
    </xf>
    <xf numFmtId="0" fontId="27" fillId="0" borderId="178" xfId="0" applyFont="1" applyFill="1" applyBorder="1" applyAlignment="1">
      <alignment horizontal="distributed" vertical="center" wrapText="1"/>
    </xf>
    <xf numFmtId="0" fontId="27" fillId="0" borderId="182" xfId="0" applyFont="1" applyFill="1" applyBorder="1" applyAlignment="1">
      <alignment horizontal="left" vertical="center" wrapText="1" indent="1"/>
    </xf>
    <xf numFmtId="0" fontId="27" fillId="0" borderId="42" xfId="0" applyFont="1" applyFill="1" applyBorder="1" applyAlignment="1">
      <alignment horizontal="left" vertical="center" wrapText="1" indent="1"/>
    </xf>
    <xf numFmtId="0" fontId="27" fillId="0" borderId="35" xfId="0" applyFont="1" applyFill="1" applyBorder="1" applyAlignment="1">
      <alignment horizontal="left" vertical="center" wrapText="1" indent="1"/>
    </xf>
    <xf numFmtId="0" fontId="27" fillId="0" borderId="80" xfId="0" applyFont="1" applyBorder="1" applyAlignment="1">
      <alignment horizontal="left" vertical="center" indent="1"/>
    </xf>
    <xf numFmtId="0" fontId="27" fillId="0" borderId="81" xfId="0" applyFont="1" applyBorder="1" applyAlignment="1">
      <alignment horizontal="left" vertical="center" indent="1"/>
    </xf>
    <xf numFmtId="0" fontId="27" fillId="0" borderId="80" xfId="0" applyFont="1" applyBorder="1" applyAlignment="1">
      <alignment horizontal="center" vertical="center"/>
    </xf>
    <xf numFmtId="0" fontId="27" fillId="0" borderId="183" xfId="0" applyFont="1" applyFill="1" applyBorder="1" applyAlignment="1">
      <alignment horizontal="distributed" vertical="center"/>
    </xf>
    <xf numFmtId="0" fontId="27" fillId="0" borderId="97" xfId="0" applyFont="1" applyFill="1" applyBorder="1" applyAlignment="1">
      <alignment horizontal="distributed" vertical="center"/>
    </xf>
    <xf numFmtId="0" fontId="27" fillId="0" borderId="184" xfId="0" applyFont="1" applyFill="1" applyBorder="1" applyAlignment="1">
      <alignment horizontal="distributed" vertical="center"/>
    </xf>
    <xf numFmtId="0" fontId="27" fillId="0" borderId="96" xfId="0" applyFont="1" applyFill="1" applyBorder="1" applyAlignment="1">
      <alignment horizontal="distributed" vertical="center"/>
    </xf>
    <xf numFmtId="0" fontId="27" fillId="0" borderId="185" xfId="0" applyFont="1" applyFill="1" applyBorder="1" applyAlignment="1">
      <alignment horizontal="distributed" vertical="center"/>
    </xf>
    <xf numFmtId="0" fontId="27" fillId="0" borderId="172" xfId="0" applyFont="1" applyFill="1" applyBorder="1" applyAlignment="1">
      <alignment horizontal="distributed" vertical="center"/>
    </xf>
    <xf numFmtId="0" fontId="27" fillId="0" borderId="179" xfId="0" applyFont="1" applyFill="1" applyBorder="1" applyAlignment="1">
      <alignment horizontal="distributed" wrapText="1"/>
    </xf>
    <xf numFmtId="0" fontId="27" fillId="0" borderId="180" xfId="0" applyFont="1" applyFill="1" applyBorder="1" applyAlignment="1">
      <alignment horizontal="distributed" wrapText="1"/>
    </xf>
    <xf numFmtId="0" fontId="27" fillId="0" borderId="41" xfId="0" applyFont="1" applyFill="1" applyBorder="1" applyAlignment="1">
      <alignment horizontal="distributed" vertical="top" wrapText="1"/>
    </xf>
    <xf numFmtId="0" fontId="27" fillId="0" borderId="181" xfId="0" applyFont="1" applyFill="1" applyBorder="1" applyAlignment="1">
      <alignment horizontal="distributed" vertical="top" wrapText="1"/>
    </xf>
    <xf numFmtId="0" fontId="27" fillId="0" borderId="179" xfId="0" applyFont="1" applyBorder="1" applyAlignment="1">
      <alignment horizontal="distributed" vertical="center"/>
    </xf>
    <xf numFmtId="0" fontId="27" fillId="0" borderId="180" xfId="0" applyFont="1" applyBorder="1" applyAlignment="1">
      <alignment horizontal="distributed" vertical="center"/>
    </xf>
    <xf numFmtId="0" fontId="27" fillId="0" borderId="89" xfId="0" applyFont="1" applyBorder="1" applyAlignment="1">
      <alignment horizontal="distributed" vertical="center"/>
    </xf>
    <xf numFmtId="0" fontId="27" fillId="0" borderId="178" xfId="0" applyFont="1" applyBorder="1" applyAlignment="1">
      <alignment horizontal="distributed" vertical="center"/>
    </xf>
    <xf numFmtId="0" fontId="27" fillId="0" borderId="87" xfId="0" applyFont="1" applyFill="1" applyBorder="1" applyAlignment="1">
      <alignment horizontal="distributed" vertical="center"/>
    </xf>
    <xf numFmtId="0" fontId="27" fillId="0" borderId="0" xfId="0" applyFont="1" applyFill="1" applyBorder="1" applyAlignment="1">
      <alignment horizontal="distributed" vertical="center"/>
    </xf>
    <xf numFmtId="0" fontId="27" fillId="0" borderId="176" xfId="0" applyFont="1" applyFill="1" applyBorder="1" applyAlignment="1">
      <alignment horizontal="distributed" vertical="center"/>
    </xf>
    <xf numFmtId="0" fontId="8" fillId="0" borderId="118"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93" xfId="0" applyFont="1" applyFill="1" applyBorder="1" applyAlignment="1">
      <alignment horizontal="distributed" vertical="center"/>
    </xf>
    <xf numFmtId="0" fontId="8" fillId="0" borderId="76" xfId="0" applyFont="1" applyFill="1" applyBorder="1" applyAlignment="1">
      <alignment horizontal="distributed" vertical="center"/>
    </xf>
    <xf numFmtId="0" fontId="37" fillId="0" borderId="183" xfId="0" applyFont="1" applyFill="1" applyBorder="1" applyAlignment="1">
      <alignment horizontal="center" vertical="center" wrapText="1"/>
    </xf>
    <xf numFmtId="0" fontId="37" fillId="0" borderId="184" xfId="0" applyFont="1" applyFill="1" applyBorder="1" applyAlignment="1">
      <alignment horizontal="center" vertical="center" wrapText="1"/>
    </xf>
    <xf numFmtId="0" fontId="37" fillId="0" borderId="94" xfId="0" applyFont="1" applyFill="1" applyBorder="1" applyAlignment="1">
      <alignment horizontal="center" vertical="center" wrapText="1"/>
    </xf>
    <xf numFmtId="0" fontId="8" fillId="0" borderId="76" xfId="0" applyFont="1" applyFill="1" applyBorder="1" applyAlignment="1">
      <alignment horizontal="center" vertical="center" wrapText="1"/>
    </xf>
    <xf numFmtId="0" fontId="8" fillId="0" borderId="81" xfId="0" applyFont="1" applyFill="1" applyBorder="1" applyAlignment="1">
      <alignment horizontal="center" vertical="center" wrapText="1"/>
    </xf>
    <xf numFmtId="0" fontId="8" fillId="0" borderId="183" xfId="0" applyFont="1" applyFill="1" applyBorder="1" applyAlignment="1">
      <alignment horizontal="center" vertical="center" wrapText="1"/>
    </xf>
    <xf numFmtId="0" fontId="8" fillId="0" borderId="184" xfId="0" applyFont="1" applyFill="1" applyBorder="1" applyAlignment="1">
      <alignment horizontal="center" vertical="center" wrapText="1"/>
    </xf>
    <xf numFmtId="0" fontId="8" fillId="0" borderId="94" xfId="0" applyFont="1" applyFill="1" applyBorder="1" applyAlignment="1">
      <alignment horizontal="center" vertical="center" wrapText="1"/>
    </xf>
    <xf numFmtId="10" fontId="8" fillId="0" borderId="112" xfId="15" applyNumberFormat="1" applyFont="1" applyBorder="1" applyAlignment="1">
      <alignment horizontal="center" vertical="center" wrapText="1"/>
    </xf>
    <xf numFmtId="0" fontId="8" fillId="0" borderId="186" xfId="0" applyFont="1" applyBorder="1" applyAlignment="1">
      <alignment horizontal="right" vertical="center" wrapText="1"/>
    </xf>
    <xf numFmtId="0" fontId="8" fillId="0" borderId="187" xfId="0" applyFont="1" applyBorder="1" applyAlignment="1">
      <alignment horizontal="right" vertical="center" wrapText="1"/>
    </xf>
    <xf numFmtId="0" fontId="8" fillId="0" borderId="106" xfId="0" applyFont="1" applyBorder="1" applyAlignment="1">
      <alignment horizontal="center" vertical="center" wrapText="1"/>
    </xf>
    <xf numFmtId="0" fontId="8" fillId="0" borderId="107" xfId="0" applyFont="1" applyBorder="1" applyAlignment="1">
      <alignment horizontal="center" vertical="center" wrapText="1"/>
    </xf>
    <xf numFmtId="9" fontId="8" fillId="0" borderId="111" xfId="15" applyFont="1" applyBorder="1" applyAlignment="1">
      <alignment horizontal="center" vertical="center" wrapText="1"/>
    </xf>
    <xf numFmtId="3" fontId="8" fillId="0" borderId="109" xfId="0" applyNumberFormat="1" applyFont="1" applyBorder="1" applyAlignment="1">
      <alignment horizontal="center" vertical="center" wrapText="1"/>
    </xf>
    <xf numFmtId="3" fontId="8" fillId="0" borderId="110" xfId="0" applyNumberFormat="1" applyFont="1" applyBorder="1" applyAlignment="1">
      <alignment horizontal="center" vertical="center" wrapText="1"/>
    </xf>
    <xf numFmtId="0" fontId="8" fillId="0" borderId="100" xfId="0" applyFont="1" applyBorder="1" applyAlignment="1">
      <alignment horizontal="center" wrapText="1"/>
    </xf>
    <xf numFmtId="0" fontId="8" fillId="0" borderId="101" xfId="0" applyFont="1" applyBorder="1" applyAlignment="1">
      <alignment horizontal="center" wrapText="1"/>
    </xf>
    <xf numFmtId="0" fontId="8" fillId="0" borderId="0" xfId="0" applyFont="1" applyAlignment="1">
      <alignment horizontal="left" vertical="center" wrapText="1"/>
    </xf>
    <xf numFmtId="189" fontId="8" fillId="0" borderId="185" xfId="0" applyNumberFormat="1" applyFont="1" applyBorder="1" applyAlignment="1">
      <alignment horizontal="center" vertical="center"/>
    </xf>
    <xf numFmtId="189" fontId="8" fillId="0" borderId="172" xfId="0" applyNumberFormat="1" applyFont="1" applyBorder="1" applyAlignment="1">
      <alignment horizontal="center" vertical="center"/>
    </xf>
    <xf numFmtId="3" fontId="8" fillId="0" borderId="172" xfId="0" applyNumberFormat="1" applyFont="1" applyBorder="1" applyAlignment="1">
      <alignment horizontal="center" vertical="center"/>
    </xf>
    <xf numFmtId="189" fontId="8" fillId="0" borderId="171" xfId="0" applyNumberFormat="1" applyFont="1" applyBorder="1" applyAlignment="1">
      <alignment horizontal="center" vertical="center"/>
    </xf>
    <xf numFmtId="0" fontId="8" fillId="0" borderId="184" xfId="0" applyFont="1" applyBorder="1" applyAlignment="1">
      <alignment horizontal="center" vertical="center"/>
    </xf>
    <xf numFmtId="0" fontId="8" fillId="0" borderId="96" xfId="0" applyFont="1" applyBorder="1" applyAlignment="1">
      <alignment horizontal="center" vertical="center"/>
    </xf>
    <xf numFmtId="0" fontId="25" fillId="0" borderId="96" xfId="0" applyFont="1" applyBorder="1" applyAlignment="1">
      <alignment horizontal="right" vertical="center"/>
    </xf>
    <xf numFmtId="0" fontId="25" fillId="0" borderId="170" xfId="0" applyFont="1" applyBorder="1" applyAlignment="1">
      <alignment horizontal="right" vertical="center"/>
    </xf>
    <xf numFmtId="0" fontId="8" fillId="0" borderId="94" xfId="0" applyFont="1" applyBorder="1" applyAlignment="1">
      <alignment horizontal="center" vertical="center"/>
    </xf>
    <xf numFmtId="0" fontId="8" fillId="0" borderId="90" xfId="0" applyFont="1" applyBorder="1" applyAlignment="1">
      <alignment horizontal="center" vertical="center"/>
    </xf>
    <xf numFmtId="0" fontId="8" fillId="0" borderId="98" xfId="0" applyFont="1" applyBorder="1" applyAlignment="1">
      <alignment horizontal="center" vertical="center"/>
    </xf>
    <xf numFmtId="0" fontId="8" fillId="0" borderId="95" xfId="0" applyNumberFormat="1" applyFont="1" applyBorder="1" applyAlignment="1">
      <alignment horizontal="center" vertical="center"/>
    </xf>
    <xf numFmtId="0" fontId="8" fillId="0" borderId="96" xfId="0" applyNumberFormat="1" applyFont="1" applyBorder="1" applyAlignment="1">
      <alignment horizontal="center" vertical="center"/>
    </xf>
    <xf numFmtId="0" fontId="8" fillId="0" borderId="90" xfId="0" applyNumberFormat="1" applyFont="1" applyBorder="1" applyAlignment="1">
      <alignment horizontal="center" vertical="center"/>
    </xf>
    <xf numFmtId="38" fontId="8" fillId="0" borderId="80" xfId="0" applyNumberFormat="1" applyFont="1" applyBorder="1" applyAlignment="1">
      <alignment horizontal="right" vertical="center"/>
    </xf>
    <xf numFmtId="38" fontId="8" fillId="0" borderId="83" xfId="0" applyNumberFormat="1" applyFont="1" applyBorder="1" applyAlignment="1">
      <alignment horizontal="right" vertical="center"/>
    </xf>
    <xf numFmtId="0" fontId="8" fillId="0" borderId="96" xfId="0" applyNumberFormat="1" applyFont="1" applyBorder="1" applyAlignment="1">
      <alignment horizontal="right" vertical="center"/>
    </xf>
    <xf numFmtId="38" fontId="8" fillId="0" borderId="80" xfId="0" applyNumberFormat="1" applyFont="1" applyBorder="1" applyAlignment="1">
      <alignment horizontal="center" vertical="center"/>
    </xf>
    <xf numFmtId="38" fontId="8" fillId="0" borderId="83" xfId="0" applyNumberFormat="1" applyFont="1" applyBorder="1" applyAlignment="1">
      <alignment horizontal="center" vertical="center"/>
    </xf>
    <xf numFmtId="0" fontId="8" fillId="0" borderId="174" xfId="0" applyNumberFormat="1" applyFont="1" applyBorder="1" applyAlignment="1">
      <alignment horizontal="right" vertical="center"/>
    </xf>
    <xf numFmtId="0" fontId="8" fillId="0" borderId="181" xfId="0" applyNumberFormat="1" applyFont="1" applyBorder="1" applyAlignment="1">
      <alignment horizontal="right" vertical="center"/>
    </xf>
    <xf numFmtId="38" fontId="8" fillId="0" borderId="80" xfId="17" applyFont="1" applyBorder="1" applyAlignment="1">
      <alignment horizontal="right" vertical="center"/>
    </xf>
    <xf numFmtId="0" fontId="8" fillId="0" borderId="126" xfId="0" applyNumberFormat="1" applyFont="1" applyBorder="1" applyAlignment="1">
      <alignment horizontal="center" vertical="center" shrinkToFit="1"/>
    </xf>
    <xf numFmtId="0" fontId="8" fillId="0" borderId="80" xfId="0" applyNumberFormat="1" applyFont="1" applyBorder="1" applyAlignment="1">
      <alignment horizontal="center" vertical="center" shrinkToFit="1"/>
    </xf>
    <xf numFmtId="0" fontId="8" fillId="0" borderId="93" xfId="0" applyNumberFormat="1" applyFont="1" applyBorder="1" applyAlignment="1">
      <alignment horizontal="center" vertical="center" shrinkToFit="1"/>
    </xf>
    <xf numFmtId="0" fontId="8" fillId="0" borderId="76" xfId="0" applyNumberFormat="1" applyFont="1" applyBorder="1" applyAlignment="1">
      <alignment horizontal="center" vertical="center" shrinkToFit="1"/>
    </xf>
    <xf numFmtId="0" fontId="8" fillId="0" borderId="188" xfId="0" applyNumberFormat="1" applyFont="1" applyBorder="1" applyAlignment="1">
      <alignment horizontal="center" vertical="center"/>
    </xf>
    <xf numFmtId="0" fontId="8" fillId="0" borderId="184" xfId="0" applyNumberFormat="1" applyFont="1" applyBorder="1" applyAlignment="1">
      <alignment horizontal="center" vertical="center"/>
    </xf>
    <xf numFmtId="0" fontId="8" fillId="0" borderId="94" xfId="0" applyNumberFormat="1" applyFont="1" applyBorder="1" applyAlignment="1">
      <alignment horizontal="center" vertical="center"/>
    </xf>
    <xf numFmtId="10" fontId="8" fillId="0" borderId="80" xfId="0" applyNumberFormat="1" applyFont="1" applyBorder="1" applyAlignment="1">
      <alignment horizontal="center" vertical="center"/>
    </xf>
    <xf numFmtId="10" fontId="8" fillId="0" borderId="81" xfId="0" applyNumberFormat="1" applyFont="1" applyBorder="1" applyAlignment="1">
      <alignment horizontal="center" vertical="center"/>
    </xf>
    <xf numFmtId="0" fontId="8" fillId="0" borderId="169" xfId="0" applyNumberFormat="1" applyFont="1" applyBorder="1" applyAlignment="1">
      <alignment horizontal="center" vertical="center" wrapText="1"/>
    </xf>
    <xf numFmtId="0" fontId="8" fillId="0" borderId="170" xfId="0" applyNumberFormat="1" applyFont="1" applyBorder="1" applyAlignment="1">
      <alignment horizontal="center" vertical="center" wrapText="1"/>
    </xf>
    <xf numFmtId="0" fontId="8" fillId="0" borderId="98" xfId="0" applyNumberFormat="1" applyFont="1" applyBorder="1" applyAlignment="1">
      <alignment horizontal="center" vertical="center" wrapText="1"/>
    </xf>
    <xf numFmtId="0" fontId="8" fillId="0" borderId="169" xfId="0" applyNumberFormat="1" applyFont="1" applyBorder="1" applyAlignment="1">
      <alignment horizontal="center" vertical="center"/>
    </xf>
    <xf numFmtId="0" fontId="8" fillId="0" borderId="170" xfId="0" applyNumberFormat="1" applyFont="1" applyBorder="1" applyAlignment="1">
      <alignment horizontal="center" vertical="center"/>
    </xf>
    <xf numFmtId="10" fontId="8" fillId="0" borderId="83" xfId="0" applyNumberFormat="1" applyFont="1" applyBorder="1" applyAlignment="1">
      <alignment horizontal="center" vertical="center"/>
    </xf>
    <xf numFmtId="10" fontId="8" fillId="0" borderId="84" xfId="0" applyNumberFormat="1" applyFont="1" applyBorder="1" applyAlignment="1">
      <alignment horizontal="center" vertical="center"/>
    </xf>
    <xf numFmtId="38" fontId="8" fillId="0" borderId="83" xfId="17" applyFont="1" applyBorder="1" applyAlignment="1">
      <alignment horizontal="right" vertical="center"/>
    </xf>
    <xf numFmtId="0" fontId="8" fillId="0" borderId="130" xfId="0" applyNumberFormat="1" applyFont="1" applyBorder="1" applyAlignment="1">
      <alignment horizontal="center" vertical="center" shrinkToFit="1"/>
    </xf>
    <xf numFmtId="0" fontId="8" fillId="0" borderId="81" xfId="0" applyNumberFormat="1" applyFont="1" applyBorder="1" applyAlignment="1">
      <alignment horizontal="center" vertical="center" shrinkToFit="1"/>
    </xf>
    <xf numFmtId="0" fontId="8" fillId="0" borderId="95" xfId="0" applyFont="1" applyBorder="1" applyAlignment="1">
      <alignment horizontal="center" vertical="center"/>
    </xf>
    <xf numFmtId="0" fontId="8" fillId="0" borderId="169" xfId="0" applyFont="1" applyBorder="1" applyAlignment="1">
      <alignment horizontal="center" vertical="center"/>
    </xf>
    <xf numFmtId="0" fontId="25" fillId="0" borderId="174" xfId="0" applyFont="1" applyBorder="1" applyAlignment="1">
      <alignment horizontal="right" vertical="center" wrapText="1"/>
    </xf>
    <xf numFmtId="0" fontId="25" fillId="0" borderId="37" xfId="0" applyFont="1" applyBorder="1" applyAlignment="1">
      <alignment horizontal="right" vertical="center" wrapText="1"/>
    </xf>
    <xf numFmtId="0" fontId="37" fillId="0" borderId="90" xfId="0" applyFont="1" applyBorder="1" applyAlignment="1">
      <alignment horizontal="center" vertical="center"/>
    </xf>
    <xf numFmtId="0" fontId="37" fillId="0" borderId="98" xfId="0" applyFont="1" applyBorder="1" applyAlignment="1">
      <alignment horizontal="center" vertical="center"/>
    </xf>
    <xf numFmtId="0" fontId="8" fillId="0" borderId="93" xfId="0" applyFont="1" applyBorder="1" applyAlignment="1">
      <alignment horizontal="center" vertical="center" wrapText="1"/>
    </xf>
    <xf numFmtId="0" fontId="8" fillId="0" borderId="76" xfId="0" applyFont="1" applyBorder="1" applyAlignment="1">
      <alignment horizontal="center" vertical="center" wrapText="1"/>
    </xf>
    <xf numFmtId="38" fontId="8" fillId="0" borderId="80" xfId="17" applyFont="1" applyBorder="1" applyAlignment="1">
      <alignment horizontal="center" vertical="center"/>
    </xf>
    <xf numFmtId="38" fontId="8" fillId="0" borderId="81" xfId="17" applyFont="1" applyBorder="1" applyAlignment="1">
      <alignment horizontal="center" vertical="center"/>
    </xf>
    <xf numFmtId="38" fontId="8" fillId="0" borderId="84" xfId="0" applyNumberFormat="1" applyFont="1" applyBorder="1" applyAlignment="1">
      <alignment horizontal="center" vertical="center"/>
    </xf>
    <xf numFmtId="0" fontId="8" fillId="0" borderId="78" xfId="0" applyFont="1" applyBorder="1" applyAlignment="1">
      <alignment horizontal="center" vertical="center"/>
    </xf>
    <xf numFmtId="0" fontId="8" fillId="0" borderId="83" xfId="0" applyFont="1" applyBorder="1" applyAlignment="1">
      <alignment horizontal="center" vertical="center"/>
    </xf>
    <xf numFmtId="0" fontId="8" fillId="0" borderId="188" xfId="0" applyFont="1" applyBorder="1" applyAlignment="1">
      <alignment horizontal="center" vertical="center" wrapText="1"/>
    </xf>
    <xf numFmtId="0" fontId="8" fillId="0" borderId="184" xfId="0" applyFont="1" applyBorder="1" applyAlignment="1">
      <alignment horizontal="center" vertical="center" wrapText="1"/>
    </xf>
    <xf numFmtId="0" fontId="8" fillId="0" borderId="94" xfId="0" applyFont="1" applyBorder="1" applyAlignment="1">
      <alignment horizontal="center" vertical="center" wrapText="1"/>
    </xf>
    <xf numFmtId="0" fontId="8" fillId="0" borderId="0" xfId="0" applyFont="1" applyAlignment="1">
      <alignment horizontal="left" vertical="top" wrapText="1" indent="1"/>
    </xf>
    <xf numFmtId="0" fontId="8" fillId="0" borderId="170" xfId="0" applyFont="1" applyBorder="1" applyAlignment="1">
      <alignment horizontal="center" vertical="center"/>
    </xf>
    <xf numFmtId="0" fontId="25" fillId="0" borderId="0" xfId="0" applyFont="1" applyAlignment="1">
      <alignment horizontal="center" vertical="center"/>
    </xf>
    <xf numFmtId="203" fontId="8" fillId="0" borderId="0" xfId="0" applyNumberFormat="1" applyFont="1" applyAlignment="1">
      <alignment horizontal="left"/>
    </xf>
    <xf numFmtId="207" fontId="8" fillId="0" borderId="0" xfId="0" applyNumberFormat="1" applyFont="1" applyAlignment="1">
      <alignment horizontal="center"/>
    </xf>
    <xf numFmtId="0" fontId="32" fillId="0" borderId="121" xfId="0" applyFont="1" applyBorder="1" applyAlignment="1">
      <alignment horizontal="left" vertical="center" indent="1" shrinkToFit="1"/>
    </xf>
    <xf numFmtId="0" fontId="32" fillId="0" borderId="85" xfId="0" applyFont="1" applyBorder="1" applyAlignment="1">
      <alignment horizontal="left" vertical="center" indent="1" shrinkToFit="1"/>
    </xf>
    <xf numFmtId="0" fontId="32" fillId="0" borderId="127" xfId="0" applyFont="1" applyBorder="1" applyAlignment="1">
      <alignment horizontal="left" vertical="center" indent="1" shrinkToFit="1"/>
    </xf>
    <xf numFmtId="0" fontId="32" fillId="0" borderId="18" xfId="0" applyFont="1" applyBorder="1" applyAlignment="1">
      <alignment horizontal="center" vertical="center"/>
    </xf>
    <xf numFmtId="0" fontId="5" fillId="0" borderId="38" xfId="0" applyFont="1" applyBorder="1" applyAlignment="1">
      <alignment horizontal="center" vertical="center"/>
    </xf>
    <xf numFmtId="0" fontId="5" fillId="0" borderId="40" xfId="0" applyFont="1" applyBorder="1" applyAlignment="1">
      <alignment horizontal="center" vertical="center"/>
    </xf>
    <xf numFmtId="0" fontId="33" fillId="0" borderId="89" xfId="0" applyFont="1" applyBorder="1" applyAlignment="1">
      <alignment horizontal="center" vertical="center"/>
    </xf>
    <xf numFmtId="0" fontId="33" fillId="0" borderId="177" xfId="0" applyFont="1" applyBorder="1" applyAlignment="1">
      <alignment horizontal="center" vertical="center"/>
    </xf>
    <xf numFmtId="0" fontId="32" fillId="0" borderId="19" xfId="0" applyFont="1" applyBorder="1" applyAlignment="1">
      <alignment horizontal="center" vertical="center"/>
    </xf>
    <xf numFmtId="0" fontId="32" fillId="0" borderId="86" xfId="0" applyFont="1" applyBorder="1" applyAlignment="1">
      <alignment horizontal="left" vertical="center" indent="1" shrinkToFit="1"/>
    </xf>
    <xf numFmtId="0" fontId="32" fillId="0" borderId="83" xfId="0" applyFont="1" applyBorder="1" applyAlignment="1">
      <alignment horizontal="left" vertical="center" indent="1" shrinkToFit="1"/>
    </xf>
    <xf numFmtId="0" fontId="32" fillId="0" borderId="84" xfId="0" applyFont="1" applyBorder="1" applyAlignment="1">
      <alignment horizontal="left" vertical="center" indent="1" shrinkToFit="1"/>
    </xf>
    <xf numFmtId="0" fontId="32" fillId="0" borderId="38" xfId="0" applyNumberFormat="1" applyFont="1" applyBorder="1" applyAlignment="1">
      <alignment horizontal="center" vertical="center"/>
    </xf>
    <xf numFmtId="0" fontId="32" fillId="0" borderId="39" xfId="0" applyNumberFormat="1" applyFont="1" applyBorder="1" applyAlignment="1">
      <alignment horizontal="center" vertical="center"/>
    </xf>
    <xf numFmtId="0" fontId="32" fillId="0" borderId="40" xfId="0" applyNumberFormat="1" applyFont="1" applyBorder="1" applyAlignment="1">
      <alignment horizontal="center" vertical="center"/>
    </xf>
    <xf numFmtId="0" fontId="32" fillId="0" borderId="34" xfId="0" applyNumberFormat="1" applyFont="1" applyBorder="1" applyAlignment="1">
      <alignment horizontal="center" vertical="center"/>
    </xf>
    <xf numFmtId="0" fontId="32" fillId="0" borderId="42" xfId="0" applyNumberFormat="1" applyFont="1" applyBorder="1" applyAlignment="1">
      <alignment horizontal="center" vertical="center"/>
    </xf>
    <xf numFmtId="0" fontId="32" fillId="0" borderId="35" xfId="0" applyNumberFormat="1" applyFont="1" applyBorder="1" applyAlignment="1">
      <alignment horizontal="center" vertical="center"/>
    </xf>
    <xf numFmtId="0" fontId="32" fillId="0" borderId="17" xfId="0" applyFont="1" applyBorder="1" applyAlignment="1">
      <alignment horizontal="center" vertical="center"/>
    </xf>
    <xf numFmtId="49" fontId="34" fillId="0" borderId="0" xfId="0" applyNumberFormat="1" applyFont="1" applyAlignment="1">
      <alignment horizontal="center" vertical="center"/>
    </xf>
    <xf numFmtId="49" fontId="34" fillId="0" borderId="42" xfId="0" applyNumberFormat="1" applyFont="1" applyBorder="1" applyAlignment="1">
      <alignment horizontal="center" vertical="center"/>
    </xf>
    <xf numFmtId="0" fontId="5" fillId="0" borderId="36" xfId="0" applyFont="1" applyBorder="1" applyAlignment="1">
      <alignment horizontal="center" vertical="center"/>
    </xf>
    <xf numFmtId="0" fontId="5" fillId="0" borderId="20" xfId="0" applyFont="1" applyBorder="1" applyAlignment="1">
      <alignment horizontal="center" vertical="center"/>
    </xf>
    <xf numFmtId="0" fontId="6" fillId="0" borderId="93" xfId="0" applyFont="1" applyBorder="1" applyAlignment="1">
      <alignment horizontal="center" vertical="center"/>
    </xf>
    <xf numFmtId="0" fontId="6" fillId="0" borderId="126" xfId="0" applyFont="1" applyBorder="1" applyAlignment="1">
      <alignment horizontal="center" vertical="center"/>
    </xf>
    <xf numFmtId="0" fontId="6" fillId="0" borderId="78" xfId="0" applyFont="1" applyBorder="1" applyAlignment="1">
      <alignment horizontal="center" vertical="center"/>
    </xf>
    <xf numFmtId="0" fontId="6" fillId="0" borderId="83" xfId="0" applyFont="1" applyBorder="1" applyAlignment="1">
      <alignment horizontal="center" vertical="center"/>
    </xf>
    <xf numFmtId="0" fontId="5" fillId="0" borderId="82" xfId="0" applyFont="1" applyBorder="1" applyAlignment="1">
      <alignment horizontal="center" vertical="center"/>
    </xf>
    <xf numFmtId="0" fontId="5" fillId="0" borderId="79" xfId="0" applyFont="1" applyBorder="1" applyAlignment="1">
      <alignment horizontal="center" vertical="center"/>
    </xf>
    <xf numFmtId="0" fontId="5" fillId="0" borderId="189" xfId="0" applyFont="1" applyBorder="1" applyAlignment="1">
      <alignment horizontal="center" vertical="center"/>
    </xf>
    <xf numFmtId="0" fontId="5" fillId="0" borderId="85" xfId="0" applyFont="1" applyBorder="1" applyAlignment="1">
      <alignment horizontal="center" vertical="center"/>
    </xf>
    <xf numFmtId="0" fontId="5" fillId="0" borderId="86" xfId="0" applyFont="1" applyBorder="1" applyAlignment="1">
      <alignment horizontal="center" vertical="center"/>
    </xf>
    <xf numFmtId="176" fontId="5" fillId="0" borderId="176" xfId="0" applyNumberFormat="1" applyFont="1" applyBorder="1" applyAlignment="1">
      <alignment horizontal="center"/>
    </xf>
    <xf numFmtId="176" fontId="5" fillId="0" borderId="177" xfId="0" applyNumberFormat="1" applyFont="1" applyBorder="1" applyAlignment="1">
      <alignment horizontal="center"/>
    </xf>
    <xf numFmtId="0" fontId="32" fillId="0" borderId="123" xfId="0" applyFont="1" applyFill="1" applyBorder="1" applyAlignment="1">
      <alignment horizontal="center" vertical="center"/>
    </xf>
    <xf numFmtId="0" fontId="32" fillId="0" borderId="79" xfId="0" applyFont="1" applyFill="1" applyBorder="1" applyAlignment="1">
      <alignment horizontal="center" vertical="center"/>
    </xf>
    <xf numFmtId="0" fontId="6" fillId="0" borderId="90" xfId="0" applyFont="1" applyBorder="1" applyAlignment="1">
      <alignment horizontal="center" vertical="center"/>
    </xf>
    <xf numFmtId="0" fontId="6" fillId="0" borderId="98" xfId="0" applyFont="1" applyBorder="1" applyAlignment="1">
      <alignment horizontal="center" vertical="center"/>
    </xf>
    <xf numFmtId="0" fontId="32" fillId="0" borderId="119" xfId="0" applyFont="1" applyBorder="1" applyAlignment="1">
      <alignment horizontal="left" vertical="center" indent="1" shrinkToFit="1"/>
    </xf>
    <xf numFmtId="0" fontId="32" fillId="0" borderId="77" xfId="0" applyFont="1" applyBorder="1" applyAlignment="1">
      <alignment horizontal="left" vertical="center" indent="1" shrinkToFit="1"/>
    </xf>
    <xf numFmtId="0" fontId="32" fillId="0" borderId="80" xfId="0" applyFont="1" applyBorder="1" applyAlignment="1">
      <alignment horizontal="left" vertical="center" indent="1"/>
    </xf>
    <xf numFmtId="0" fontId="32" fillId="0" borderId="81" xfId="0" applyFont="1" applyBorder="1" applyAlignment="1">
      <alignment horizontal="left" vertical="center" indent="1"/>
    </xf>
    <xf numFmtId="0" fontId="32" fillId="0" borderId="83" xfId="0" applyFont="1" applyBorder="1" applyAlignment="1">
      <alignment horizontal="left" vertical="center" indent="1"/>
    </xf>
    <xf numFmtId="0" fontId="32" fillId="0" borderId="84" xfId="0" applyFont="1" applyBorder="1" applyAlignment="1">
      <alignment horizontal="left" vertical="center" indent="1"/>
    </xf>
    <xf numFmtId="57" fontId="32" fillId="0" borderId="76" xfId="0" applyNumberFormat="1" applyFont="1" applyBorder="1" applyAlignment="1">
      <alignment horizontal="left" vertical="center" indent="1"/>
    </xf>
    <xf numFmtId="57" fontId="32" fillId="0" borderId="119" xfId="0" applyNumberFormat="1" applyFont="1" applyBorder="1" applyAlignment="1">
      <alignment horizontal="left" vertical="center" indent="1"/>
    </xf>
    <xf numFmtId="195" fontId="32" fillId="0" borderId="80" xfId="0" applyNumberFormat="1" applyFont="1" applyBorder="1" applyAlignment="1">
      <alignment horizontal="left" vertical="center" indent="1"/>
    </xf>
    <xf numFmtId="195" fontId="32" fillId="0" borderId="83" xfId="0" applyNumberFormat="1" applyFont="1" applyBorder="1" applyAlignment="1">
      <alignment horizontal="left" vertical="center" indent="1"/>
    </xf>
    <xf numFmtId="57" fontId="32" fillId="0" borderId="80" xfId="0" applyNumberFormat="1" applyFont="1" applyBorder="1" applyAlignment="1">
      <alignment horizontal="left" vertical="center" indent="1"/>
    </xf>
    <xf numFmtId="9" fontId="32" fillId="0" borderId="80" xfId="15" applyFont="1" applyFill="1" applyBorder="1" applyAlignment="1">
      <alignment horizontal="center" vertical="center"/>
    </xf>
    <xf numFmtId="0" fontId="32" fillId="0" borderId="124" xfId="0" applyFont="1" applyBorder="1" applyAlignment="1">
      <alignment horizontal="center" vertical="center"/>
    </xf>
    <xf numFmtId="0" fontId="5" fillId="0" borderId="83" xfId="0" applyFont="1" applyBorder="1" applyAlignment="1">
      <alignment horizontal="center" vertical="center"/>
    </xf>
    <xf numFmtId="0" fontId="32" fillId="0" borderId="83" xfId="0" applyFont="1" applyBorder="1" applyAlignment="1">
      <alignment horizontal="center" vertical="center"/>
    </xf>
    <xf numFmtId="0" fontId="32" fillId="0" borderId="84" xfId="0" applyFont="1" applyBorder="1" applyAlignment="1">
      <alignment horizontal="center" vertical="center"/>
    </xf>
    <xf numFmtId="0" fontId="32" fillId="0" borderId="68" xfId="0" applyFont="1" applyBorder="1" applyAlignment="1">
      <alignment horizontal="center" vertical="center"/>
    </xf>
    <xf numFmtId="9" fontId="32" fillId="0" borderId="126" xfId="15" applyFont="1" applyFill="1" applyBorder="1" applyAlignment="1">
      <alignment horizontal="center" vertical="center"/>
    </xf>
    <xf numFmtId="9" fontId="32" fillId="0" borderId="130" xfId="15" applyFont="1" applyFill="1" applyBorder="1" applyAlignment="1">
      <alignment horizontal="center" vertical="center"/>
    </xf>
    <xf numFmtId="0" fontId="5" fillId="0" borderId="80" xfId="0" applyFont="1" applyFill="1" applyBorder="1" applyAlignment="1">
      <alignment horizontal="center" vertical="center"/>
    </xf>
    <xf numFmtId="0" fontId="32" fillId="0" borderId="38" xfId="0" applyFont="1" applyBorder="1" applyAlignment="1">
      <alignment horizontal="left" indent="1"/>
    </xf>
    <xf numFmtId="0" fontId="32" fillId="0" borderId="39" xfId="0" applyFont="1" applyBorder="1" applyAlignment="1">
      <alignment horizontal="left" indent="1"/>
    </xf>
    <xf numFmtId="0" fontId="32" fillId="0" borderId="40" xfId="0" applyFont="1" applyBorder="1" applyAlignment="1">
      <alignment horizontal="left" indent="1"/>
    </xf>
    <xf numFmtId="0" fontId="32" fillId="0" borderId="90" xfId="0" applyFont="1" applyBorder="1" applyAlignment="1">
      <alignment horizontal="center" vertical="center"/>
    </xf>
    <xf numFmtId="57" fontId="32" fillId="0" borderId="78" xfId="0" applyNumberFormat="1" applyFont="1" applyBorder="1" applyAlignment="1">
      <alignment horizontal="left" vertical="center" indent="1"/>
    </xf>
    <xf numFmtId="57" fontId="32" fillId="0" borderId="122" xfId="0" applyNumberFormat="1" applyFont="1" applyBorder="1" applyAlignment="1">
      <alignment horizontal="left" vertical="center" indent="1"/>
    </xf>
    <xf numFmtId="0" fontId="32" fillId="0" borderId="42" xfId="0" applyFont="1" applyBorder="1" applyAlignment="1">
      <alignment horizontal="right" vertical="center"/>
    </xf>
    <xf numFmtId="0" fontId="32" fillId="0" borderId="35" xfId="0" applyFont="1" applyBorder="1" applyAlignment="1">
      <alignment horizontal="right" vertical="center"/>
    </xf>
    <xf numFmtId="176" fontId="32" fillId="0" borderId="0" xfId="0" applyNumberFormat="1" applyFont="1" applyAlignment="1">
      <alignment horizontal="center" vertical="center"/>
    </xf>
    <xf numFmtId="176" fontId="32" fillId="0" borderId="89" xfId="0" applyNumberFormat="1" applyFont="1" applyBorder="1" applyAlignment="1">
      <alignment horizontal="left" vertical="center" indent="2"/>
    </xf>
    <xf numFmtId="176" fontId="32" fillId="0" borderId="176" xfId="0" applyNumberFormat="1" applyFont="1" applyBorder="1" applyAlignment="1">
      <alignment horizontal="left" vertical="center" indent="2"/>
    </xf>
    <xf numFmtId="0" fontId="32" fillId="0" borderId="82" xfId="0" applyFont="1" applyBorder="1" applyAlignment="1">
      <alignment horizontal="left" vertical="center" indent="2"/>
    </xf>
    <xf numFmtId="0" fontId="32" fillId="0" borderId="123" xfId="0" applyFont="1" applyBorder="1" applyAlignment="1">
      <alignment horizontal="left" vertical="center" indent="2"/>
    </xf>
    <xf numFmtId="0" fontId="6" fillId="0" borderId="175" xfId="0" applyFont="1" applyBorder="1" applyAlignment="1">
      <alignment horizontal="center" vertical="center"/>
    </xf>
    <xf numFmtId="0" fontId="6" fillId="0" borderId="178" xfId="0" applyFont="1" applyBorder="1" applyAlignment="1">
      <alignment horizontal="center" vertical="center"/>
    </xf>
    <xf numFmtId="0" fontId="6" fillId="0" borderId="94" xfId="0" applyFont="1" applyBorder="1" applyAlignment="1">
      <alignment horizontal="center" vertical="center"/>
    </xf>
    <xf numFmtId="0" fontId="6" fillId="0" borderId="122" xfId="0" applyFont="1" applyFill="1" applyBorder="1" applyAlignment="1">
      <alignment horizontal="center" vertical="center"/>
    </xf>
    <xf numFmtId="0" fontId="6" fillId="0" borderId="129" xfId="0" applyFont="1" applyFill="1" applyBorder="1" applyAlignment="1">
      <alignment horizontal="center" vertical="center"/>
    </xf>
    <xf numFmtId="190" fontId="35" fillId="0" borderId="17" xfId="0" applyNumberFormat="1" applyFont="1" applyBorder="1" applyAlignment="1">
      <alignment horizontal="left" vertical="center" indent="1"/>
    </xf>
    <xf numFmtId="190" fontId="36" fillId="0" borderId="18" xfId="0" applyNumberFormat="1" applyFont="1" applyBorder="1" applyAlignment="1">
      <alignment horizontal="left" vertical="center" indent="1"/>
    </xf>
    <xf numFmtId="190" fontId="36" fillId="0" borderId="19" xfId="0" applyNumberFormat="1" applyFont="1" applyBorder="1" applyAlignment="1">
      <alignment horizontal="left" vertical="center" indent="1"/>
    </xf>
    <xf numFmtId="0" fontId="5" fillId="0" borderId="150" xfId="0" applyFont="1" applyBorder="1" applyAlignment="1">
      <alignment horizontal="center" vertical="center"/>
    </xf>
    <xf numFmtId="0" fontId="32" fillId="0" borderId="87" xfId="0" applyFont="1" applyBorder="1" applyAlignment="1">
      <alignment horizontal="center" vertical="center" shrinkToFit="1"/>
    </xf>
    <xf numFmtId="0" fontId="32" fillId="0" borderId="42" xfId="0" applyFont="1" applyBorder="1" applyAlignment="1">
      <alignment horizontal="center" vertical="center" shrinkToFit="1"/>
    </xf>
    <xf numFmtId="0" fontId="6" fillId="0" borderId="189" xfId="0" applyFont="1" applyFill="1" applyBorder="1" applyAlignment="1">
      <alignment horizontal="center" vertical="center"/>
    </xf>
    <xf numFmtId="0" fontId="6" fillId="0" borderId="85" xfId="0" applyFont="1" applyFill="1" applyBorder="1" applyAlignment="1">
      <alignment horizontal="center" vertical="center"/>
    </xf>
    <xf numFmtId="0" fontId="32" fillId="0" borderId="179" xfId="0" applyFont="1" applyBorder="1" applyAlignment="1">
      <alignment horizontal="center" vertical="center" shrinkToFit="1"/>
    </xf>
    <xf numFmtId="0" fontId="32" fillId="0" borderId="34" xfId="0" applyFont="1" applyBorder="1" applyAlignment="1">
      <alignment horizontal="center" vertical="center" shrinkToFit="1"/>
    </xf>
    <xf numFmtId="9" fontId="5" fillId="0" borderId="123" xfId="15" applyFont="1" applyFill="1" applyBorder="1" applyAlignment="1">
      <alignment horizontal="center" vertical="center"/>
    </xf>
    <xf numFmtId="0" fontId="32" fillId="0" borderId="126" xfId="0" applyFont="1" applyBorder="1" applyAlignment="1">
      <alignment horizontal="center" vertical="center"/>
    </xf>
    <xf numFmtId="0" fontId="32" fillId="0" borderId="122" xfId="0" applyFont="1" applyBorder="1" applyAlignment="1">
      <alignment horizontal="right" vertical="center"/>
    </xf>
    <xf numFmtId="0" fontId="32" fillId="0" borderId="123" xfId="0" applyFont="1" applyBorder="1" applyAlignment="1">
      <alignment horizontal="right" vertical="center"/>
    </xf>
    <xf numFmtId="0" fontId="5" fillId="0" borderId="126" xfId="0" applyFont="1" applyFill="1" applyBorder="1" applyAlignment="1">
      <alignment horizontal="center" vertical="center"/>
    </xf>
    <xf numFmtId="0" fontId="5" fillId="0" borderId="83" xfId="0" applyFont="1" applyFill="1" applyBorder="1" applyAlignment="1">
      <alignment horizontal="center" vertical="center"/>
    </xf>
    <xf numFmtId="0" fontId="32" fillId="0" borderId="90" xfId="0" applyFont="1" applyFill="1" applyBorder="1" applyAlignment="1">
      <alignment horizontal="center" vertical="center"/>
    </xf>
    <xf numFmtId="0" fontId="32" fillId="0" borderId="98" xfId="0" applyFont="1" applyFill="1" applyBorder="1" applyAlignment="1">
      <alignment horizontal="center" vertical="center"/>
    </xf>
    <xf numFmtId="0" fontId="32" fillId="0" borderId="80" xfId="0" applyFont="1" applyBorder="1" applyAlignment="1">
      <alignment horizontal="center" vertical="center"/>
    </xf>
    <xf numFmtId="0" fontId="32" fillId="0" borderId="81" xfId="0" applyFont="1" applyBorder="1" applyAlignment="1">
      <alignment horizontal="center" vertical="center"/>
    </xf>
    <xf numFmtId="0" fontId="5" fillId="0" borderId="90" xfId="0" applyFont="1" applyBorder="1" applyAlignment="1">
      <alignment horizontal="center" vertical="center"/>
    </xf>
    <xf numFmtId="0" fontId="32" fillId="2" borderId="0" xfId="0" applyFont="1" applyFill="1" applyAlignment="1">
      <alignment/>
    </xf>
    <xf numFmtId="0" fontId="32" fillId="0" borderId="0" xfId="0" applyFont="1" applyAlignment="1">
      <alignment/>
    </xf>
    <xf numFmtId="0" fontId="39" fillId="2" borderId="0" xfId="0" applyFont="1" applyFill="1" applyAlignment="1">
      <alignment/>
    </xf>
    <xf numFmtId="0" fontId="32" fillId="2" borderId="17" xfId="0" applyFont="1" applyFill="1" applyBorder="1" applyAlignment="1">
      <alignment/>
    </xf>
    <xf numFmtId="0" fontId="32" fillId="2" borderId="18" xfId="0" applyFont="1" applyFill="1" applyBorder="1" applyAlignment="1">
      <alignment/>
    </xf>
    <xf numFmtId="0" fontId="32" fillId="2" borderId="19" xfId="0" applyFont="1" applyFill="1" applyBorder="1" applyAlignment="1">
      <alignment/>
    </xf>
    <xf numFmtId="0" fontId="40" fillId="2" borderId="190" xfId="0" applyFont="1" applyFill="1" applyBorder="1" applyAlignment="1">
      <alignment horizontal="center"/>
    </xf>
    <xf numFmtId="0" fontId="40" fillId="2" borderId="191" xfId="0" applyFont="1" applyFill="1" applyBorder="1" applyAlignment="1">
      <alignment horizontal="center"/>
    </xf>
    <xf numFmtId="0" fontId="40" fillId="2" borderId="192" xfId="0" applyFont="1" applyFill="1" applyBorder="1" applyAlignment="1">
      <alignment horizontal="center"/>
    </xf>
    <xf numFmtId="0" fontId="32" fillId="2" borderId="9" xfId="0" applyFont="1" applyFill="1" applyBorder="1" applyAlignment="1">
      <alignment/>
    </xf>
    <xf numFmtId="0" fontId="32" fillId="3" borderId="193" xfId="0" applyFont="1" applyFill="1" applyBorder="1" applyAlignment="1" applyProtection="1">
      <alignment horizontal="left"/>
      <protection locked="0"/>
    </xf>
    <xf numFmtId="0" fontId="32" fillId="3" borderId="194" xfId="0" applyFont="1" applyFill="1" applyBorder="1" applyAlignment="1" applyProtection="1">
      <alignment horizontal="center"/>
      <protection locked="0"/>
    </xf>
    <xf numFmtId="38" fontId="32" fillId="3" borderId="194" xfId="17" applyFont="1" applyFill="1" applyBorder="1" applyAlignment="1" applyProtection="1">
      <alignment/>
      <protection locked="0"/>
    </xf>
    <xf numFmtId="38" fontId="32" fillId="3" borderId="195" xfId="17" applyFont="1" applyFill="1" applyBorder="1" applyAlignment="1" applyProtection="1">
      <alignment/>
      <protection locked="0"/>
    </xf>
    <xf numFmtId="38" fontId="32" fillId="2" borderId="120" xfId="17" applyFont="1" applyFill="1" applyBorder="1" applyAlignment="1" applyProtection="1">
      <alignment/>
      <protection/>
    </xf>
    <xf numFmtId="38" fontId="32" fillId="2" borderId="9" xfId="0" applyNumberFormat="1" applyFont="1" applyFill="1" applyBorder="1" applyAlignment="1" applyProtection="1">
      <alignment/>
      <protection/>
    </xf>
    <xf numFmtId="38" fontId="32" fillId="2" borderId="9" xfId="0" applyNumberFormat="1" applyFont="1" applyFill="1" applyBorder="1" applyAlignment="1">
      <alignment/>
    </xf>
    <xf numFmtId="0" fontId="32" fillId="3" borderId="196" xfId="0" applyFont="1" applyFill="1" applyBorder="1" applyAlignment="1" applyProtection="1">
      <alignment horizontal="center"/>
      <protection locked="0"/>
    </xf>
    <xf numFmtId="0" fontId="32" fillId="3" borderId="80" xfId="0" applyFont="1" applyFill="1" applyBorder="1" applyAlignment="1" applyProtection="1">
      <alignment horizontal="center"/>
      <protection locked="0"/>
    </xf>
    <xf numFmtId="38" fontId="32" fillId="3" borderId="80" xfId="17" applyFont="1" applyFill="1" applyBorder="1" applyAlignment="1" applyProtection="1">
      <alignment/>
      <protection locked="0"/>
    </xf>
    <xf numFmtId="38" fontId="32" fillId="3" borderId="197" xfId="17" applyFont="1" applyFill="1" applyBorder="1" applyAlignment="1" applyProtection="1">
      <alignment/>
      <protection locked="0"/>
    </xf>
    <xf numFmtId="0" fontId="32" fillId="2" borderId="9" xfId="0" applyFont="1" applyFill="1" applyBorder="1" applyAlignment="1" applyProtection="1">
      <alignment/>
      <protection/>
    </xf>
    <xf numFmtId="0" fontId="32" fillId="3" borderId="198" xfId="0" applyFont="1" applyFill="1" applyBorder="1" applyAlignment="1" applyProtection="1">
      <alignment horizontal="center"/>
      <protection locked="0"/>
    </xf>
    <xf numFmtId="0" fontId="32" fillId="3" borderId="199" xfId="0" applyFont="1" applyFill="1" applyBorder="1" applyAlignment="1" applyProtection="1">
      <alignment horizontal="center"/>
      <protection locked="0"/>
    </xf>
    <xf numFmtId="38" fontId="32" fillId="3" borderId="199" xfId="17" applyFont="1" applyFill="1" applyBorder="1" applyAlignment="1" applyProtection="1">
      <alignment/>
      <protection locked="0"/>
    </xf>
    <xf numFmtId="38" fontId="32" fillId="3" borderId="200" xfId="17" applyFont="1" applyFill="1" applyBorder="1" applyAlignment="1" applyProtection="1">
      <alignment/>
      <protection locked="0"/>
    </xf>
    <xf numFmtId="0" fontId="40" fillId="2" borderId="201" xfId="0" applyFont="1" applyFill="1" applyBorder="1" applyAlignment="1">
      <alignment/>
    </xf>
    <xf numFmtId="0" fontId="40" fillId="2" borderId="90" xfId="0" applyFont="1" applyFill="1" applyBorder="1" applyAlignment="1">
      <alignment horizontal="center"/>
    </xf>
    <xf numFmtId="38" fontId="40" fillId="2" borderId="90" xfId="17" applyFont="1" applyFill="1" applyBorder="1" applyAlignment="1">
      <alignment horizontal="center"/>
    </xf>
    <xf numFmtId="38" fontId="40" fillId="2" borderId="119" xfId="17" applyFont="1" applyFill="1" applyBorder="1" applyAlignment="1">
      <alignment horizontal="center"/>
    </xf>
    <xf numFmtId="0" fontId="40" fillId="2" borderId="198" xfId="0" applyFont="1" applyFill="1" applyBorder="1" applyAlignment="1">
      <alignment horizontal="center"/>
    </xf>
    <xf numFmtId="0" fontId="40" fillId="2" borderId="199" xfId="0" applyFont="1" applyFill="1" applyBorder="1" applyAlignment="1">
      <alignment horizontal="center"/>
    </xf>
    <xf numFmtId="38" fontId="40" fillId="2" borderId="199" xfId="17" applyFont="1" applyFill="1" applyBorder="1" applyAlignment="1">
      <alignment/>
    </xf>
    <xf numFmtId="38" fontId="40" fillId="2" borderId="202" xfId="17" applyFont="1" applyFill="1" applyBorder="1" applyAlignment="1">
      <alignment/>
    </xf>
    <xf numFmtId="38" fontId="40" fillId="2" borderId="9" xfId="17" applyFont="1" applyFill="1" applyBorder="1" applyAlignment="1">
      <alignment/>
    </xf>
    <xf numFmtId="0" fontId="40" fillId="2" borderId="34" xfId="0" applyFont="1" applyFill="1" applyBorder="1" applyAlignment="1">
      <alignment horizontal="center"/>
    </xf>
    <xf numFmtId="38" fontId="40" fillId="3" borderId="57" xfId="17" applyFont="1" applyFill="1" applyBorder="1" applyAlignment="1" applyProtection="1">
      <alignment horizontal="right"/>
      <protection locked="0"/>
    </xf>
    <xf numFmtId="0" fontId="40" fillId="2" borderId="0" xfId="0" applyFont="1" applyFill="1" applyBorder="1" applyAlignment="1">
      <alignment horizontal="left"/>
    </xf>
    <xf numFmtId="38" fontId="40" fillId="2" borderId="0" xfId="17" applyFont="1" applyFill="1" applyBorder="1" applyAlignment="1">
      <alignment/>
    </xf>
    <xf numFmtId="0" fontId="41" fillId="2" borderId="18" xfId="0" applyFont="1" applyFill="1" applyBorder="1" applyAlignment="1" applyProtection="1">
      <alignment vertical="top"/>
      <protection locked="0"/>
    </xf>
    <xf numFmtId="0" fontId="32" fillId="2" borderId="0" xfId="0" applyFont="1" applyFill="1" applyBorder="1" applyAlignment="1">
      <alignment horizontal="center"/>
    </xf>
    <xf numFmtId="38" fontId="32" fillId="2" borderId="0" xfId="17" applyFont="1" applyFill="1" applyBorder="1" applyAlignment="1">
      <alignment/>
    </xf>
    <xf numFmtId="0" fontId="32" fillId="2" borderId="203" xfId="0" applyFont="1" applyFill="1" applyBorder="1" applyAlignment="1">
      <alignment/>
    </xf>
    <xf numFmtId="0" fontId="40" fillId="2" borderId="93" xfId="0" applyFont="1" applyFill="1" applyBorder="1" applyAlignment="1">
      <alignment horizontal="center"/>
    </xf>
    <xf numFmtId="0" fontId="40" fillId="2" borderId="126" xfId="0" applyFont="1" applyFill="1" applyBorder="1" applyAlignment="1">
      <alignment horizontal="center"/>
    </xf>
    <xf numFmtId="38" fontId="40" fillId="2" borderId="126" xfId="17" applyFont="1" applyFill="1" applyBorder="1" applyAlignment="1">
      <alignment/>
    </xf>
    <xf numFmtId="0" fontId="40" fillId="2" borderId="126" xfId="0" applyFont="1" applyFill="1" applyBorder="1" applyAlignment="1">
      <alignment/>
    </xf>
    <xf numFmtId="0" fontId="32" fillId="2" borderId="204" xfId="0" applyFont="1" applyFill="1" applyBorder="1" applyAlignment="1">
      <alignment/>
    </xf>
    <xf numFmtId="0" fontId="32" fillId="2" borderId="50" xfId="0" applyFont="1" applyFill="1" applyBorder="1" applyAlignment="1">
      <alignment horizontal="center"/>
    </xf>
    <xf numFmtId="177" fontId="32" fillId="3" borderId="59" xfId="15" applyNumberFormat="1" applyFont="1" applyFill="1" applyBorder="1" applyAlignment="1" applyProtection="1">
      <alignment horizontal="center"/>
      <protection locked="0"/>
    </xf>
    <xf numFmtId="0" fontId="40" fillId="2" borderId="76" xfId="0" applyFont="1" applyFill="1" applyBorder="1" applyAlignment="1">
      <alignment/>
    </xf>
    <xf numFmtId="0" fontId="40" fillId="2" borderId="80" xfId="0" applyFont="1" applyFill="1" applyBorder="1" applyAlignment="1">
      <alignment horizontal="center"/>
    </xf>
    <xf numFmtId="38" fontId="40" fillId="2" borderId="80" xfId="17" applyFont="1" applyFill="1" applyBorder="1" applyAlignment="1">
      <alignment/>
    </xf>
    <xf numFmtId="0" fontId="40" fillId="2" borderId="80" xfId="0" applyFont="1" applyFill="1" applyBorder="1" applyAlignment="1">
      <alignment horizontal="distributed"/>
    </xf>
    <xf numFmtId="10" fontId="32" fillId="2" borderId="205" xfId="15" applyNumberFormat="1" applyFont="1" applyFill="1" applyBorder="1" applyAlignment="1" applyProtection="1">
      <alignment/>
      <protection/>
    </xf>
    <xf numFmtId="0" fontId="32" fillId="2" borderId="54" xfId="0" applyFont="1" applyFill="1" applyBorder="1" applyAlignment="1">
      <alignment horizontal="center"/>
    </xf>
    <xf numFmtId="177" fontId="32" fillId="3" borderId="65" xfId="15" applyNumberFormat="1" applyFont="1" applyFill="1" applyBorder="1" applyAlignment="1" applyProtection="1">
      <alignment horizontal="center"/>
      <protection locked="0"/>
    </xf>
    <xf numFmtId="0" fontId="40" fillId="2" borderId="119" xfId="0" applyFont="1" applyFill="1" applyBorder="1" applyAlignment="1">
      <alignment horizontal="distributed"/>
    </xf>
    <xf numFmtId="180" fontId="32" fillId="3" borderId="57" xfId="0" applyNumberFormat="1" applyFont="1" applyFill="1" applyBorder="1" applyAlignment="1" applyProtection="1">
      <alignment/>
      <protection locked="0"/>
    </xf>
    <xf numFmtId="0" fontId="32" fillId="2" borderId="206" xfId="0" applyFont="1" applyFill="1" applyBorder="1" applyAlignment="1">
      <alignment/>
    </xf>
    <xf numFmtId="0" fontId="32" fillId="3" borderId="207" xfId="0" applyFont="1" applyFill="1" applyBorder="1" applyAlignment="1" applyProtection="1">
      <alignment horizontal="center"/>
      <protection locked="0"/>
    </xf>
    <xf numFmtId="0" fontId="41" fillId="2" borderId="0" xfId="0" applyFont="1" applyFill="1" applyAlignment="1">
      <alignment/>
    </xf>
    <xf numFmtId="10" fontId="32" fillId="2" borderId="208" xfId="15" applyNumberFormat="1" applyFont="1" applyFill="1" applyBorder="1" applyAlignment="1" applyProtection="1">
      <alignment/>
      <protection/>
    </xf>
    <xf numFmtId="0" fontId="32" fillId="2" borderId="209" xfId="0" applyFont="1" applyFill="1" applyBorder="1" applyAlignment="1">
      <alignment horizontal="center"/>
    </xf>
    <xf numFmtId="186" fontId="32" fillId="2" borderId="207" xfId="0" applyNumberFormat="1" applyFont="1" applyFill="1" applyBorder="1" applyAlignment="1">
      <alignment horizontal="center"/>
    </xf>
    <xf numFmtId="0" fontId="40" fillId="2" borderId="78" xfId="0" applyFont="1" applyFill="1" applyBorder="1" applyAlignment="1">
      <alignment/>
    </xf>
    <xf numFmtId="0" fontId="40" fillId="2" borderId="83" xfId="0" applyFont="1" applyFill="1" applyBorder="1" applyAlignment="1">
      <alignment/>
    </xf>
    <xf numFmtId="38" fontId="40" fillId="2" borderId="83" xfId="17" applyFont="1" applyFill="1" applyBorder="1" applyAlignment="1">
      <alignment/>
    </xf>
    <xf numFmtId="0" fontId="40" fillId="2" borderId="83" xfId="0" applyFont="1" applyFill="1" applyBorder="1" applyAlignment="1">
      <alignment horizontal="distributed"/>
    </xf>
    <xf numFmtId="181" fontId="32" fillId="2" borderId="210" xfId="15" applyNumberFormat="1" applyFont="1" applyFill="1" applyBorder="1" applyAlignment="1" applyProtection="1">
      <alignment/>
      <protection/>
    </xf>
    <xf numFmtId="182" fontId="32" fillId="2" borderId="207" xfId="0" applyNumberFormat="1" applyFont="1" applyFill="1" applyBorder="1" applyAlignment="1">
      <alignment horizontal="center"/>
    </xf>
    <xf numFmtId="0" fontId="40" fillId="2" borderId="94" xfId="0" applyFont="1" applyFill="1" applyBorder="1" applyAlignment="1">
      <alignment/>
    </xf>
    <xf numFmtId="38" fontId="40" fillId="2" borderId="90" xfId="17" applyFont="1" applyFill="1" applyBorder="1" applyAlignment="1">
      <alignment/>
    </xf>
    <xf numFmtId="0" fontId="40" fillId="2" borderId="90" xfId="0" applyFont="1" applyFill="1" applyBorder="1" applyAlignment="1">
      <alignment/>
    </xf>
    <xf numFmtId="0" fontId="32" fillId="2" borderId="208" xfId="0" applyFont="1" applyFill="1" applyBorder="1" applyAlignment="1">
      <alignment/>
    </xf>
    <xf numFmtId="0" fontId="32" fillId="2" borderId="0" xfId="0" applyFont="1" applyFill="1" applyBorder="1" applyAlignment="1" applyProtection="1">
      <alignment horizontal="center"/>
      <protection locked="0"/>
    </xf>
    <xf numFmtId="0" fontId="40" fillId="2" borderId="83" xfId="0" applyFont="1" applyFill="1" applyBorder="1" applyAlignment="1">
      <alignment horizontal="center"/>
    </xf>
    <xf numFmtId="0" fontId="32" fillId="2" borderId="210" xfId="0" applyFont="1" applyFill="1" applyBorder="1" applyAlignment="1">
      <alignment/>
    </xf>
    <xf numFmtId="0" fontId="41" fillId="2" borderId="160" xfId="0" applyFont="1" applyFill="1" applyBorder="1" applyAlignment="1">
      <alignment vertical="top"/>
    </xf>
    <xf numFmtId="0" fontId="32" fillId="2" borderId="0" xfId="0" applyFont="1" applyFill="1" applyBorder="1" applyAlignment="1">
      <alignment/>
    </xf>
    <xf numFmtId="0" fontId="32" fillId="2" borderId="161" xfId="0" applyFont="1" applyFill="1" applyBorder="1" applyAlignment="1">
      <alignment/>
    </xf>
    <xf numFmtId="0" fontId="40" fillId="2" borderId="75" xfId="0" applyFont="1" applyFill="1" applyBorder="1" applyAlignment="1">
      <alignment horizontal="center"/>
    </xf>
    <xf numFmtId="0" fontId="40" fillId="2" borderId="95" xfId="0" applyFont="1" applyFill="1" applyBorder="1" applyAlignment="1">
      <alignment horizontal="center"/>
    </xf>
    <xf numFmtId="38" fontId="40" fillId="2" borderId="95" xfId="17" applyFont="1" applyFill="1" applyBorder="1" applyAlignment="1">
      <alignment/>
    </xf>
    <xf numFmtId="0" fontId="40" fillId="2" borderId="121" xfId="0" applyFont="1" applyFill="1" applyBorder="1" applyAlignment="1">
      <alignment horizontal="distributed"/>
    </xf>
    <xf numFmtId="10" fontId="32" fillId="3" borderId="211" xfId="15" applyNumberFormat="1" applyFont="1" applyFill="1" applyBorder="1" applyAlignment="1" applyProtection="1">
      <alignment horizontal="right"/>
      <protection locked="0"/>
    </xf>
    <xf numFmtId="0" fontId="32" fillId="2" borderId="52" xfId="0" applyFont="1" applyFill="1" applyBorder="1" applyAlignment="1">
      <alignment horizontal="center"/>
    </xf>
    <xf numFmtId="38" fontId="32" fillId="2" borderId="9" xfId="0" applyNumberFormat="1" applyFont="1" applyFill="1" applyBorder="1" applyAlignment="1">
      <alignment horizontal="center"/>
    </xf>
    <xf numFmtId="0" fontId="40" fillId="2" borderId="160" xfId="0" applyFont="1" applyFill="1" applyBorder="1" applyAlignment="1">
      <alignment/>
    </xf>
    <xf numFmtId="0" fontId="40" fillId="2" borderId="175" xfId="0" applyFont="1" applyFill="1" applyBorder="1" applyAlignment="1">
      <alignment horizontal="distributed"/>
    </xf>
    <xf numFmtId="10" fontId="32" fillId="3" borderId="212" xfId="15" applyNumberFormat="1" applyFont="1" applyFill="1" applyBorder="1" applyAlignment="1" applyProtection="1">
      <alignment horizontal="right"/>
      <protection locked="0"/>
    </xf>
    <xf numFmtId="0" fontId="32" fillId="2" borderId="160" xfId="0" applyFont="1" applyFill="1" applyBorder="1" applyAlignment="1">
      <alignment/>
    </xf>
    <xf numFmtId="0" fontId="40" fillId="3" borderId="119" xfId="0" applyFont="1" applyFill="1" applyBorder="1" applyAlignment="1" applyProtection="1">
      <alignment horizontal="left"/>
      <protection locked="0"/>
    </xf>
    <xf numFmtId="10" fontId="32" fillId="3" borderId="213" xfId="15" applyNumberFormat="1" applyFont="1" applyFill="1" applyBorder="1" applyAlignment="1" applyProtection="1">
      <alignment horizontal="right"/>
      <protection locked="0"/>
    </xf>
    <xf numFmtId="0" fontId="32" fillId="2" borderId="52" xfId="0" applyFont="1" applyFill="1" applyBorder="1" applyAlignment="1">
      <alignment horizontal="center"/>
    </xf>
    <xf numFmtId="38" fontId="32" fillId="2" borderId="9" xfId="17" applyFont="1" applyFill="1" applyBorder="1" applyAlignment="1" applyProtection="1">
      <alignment horizontal="center"/>
      <protection locked="0"/>
    </xf>
    <xf numFmtId="0" fontId="40" fillId="2" borderId="119" xfId="0" applyFont="1" applyFill="1" applyBorder="1" applyAlignment="1">
      <alignment horizontal="left"/>
    </xf>
    <xf numFmtId="0" fontId="32" fillId="2" borderId="201" xfId="0" applyFont="1" applyFill="1" applyBorder="1" applyAlignment="1">
      <alignment/>
    </xf>
    <xf numFmtId="10" fontId="32" fillId="3" borderId="214" xfId="15" applyNumberFormat="1" applyFont="1" applyFill="1" applyBorder="1" applyAlignment="1" applyProtection="1">
      <alignment horizontal="right"/>
      <protection locked="0"/>
    </xf>
    <xf numFmtId="0" fontId="32" fillId="2" borderId="158" xfId="0" applyFont="1" applyFill="1" applyBorder="1" applyAlignment="1">
      <alignment/>
    </xf>
    <xf numFmtId="0" fontId="40" fillId="2" borderId="42" xfId="0" applyFont="1" applyFill="1" applyBorder="1" applyAlignment="1">
      <alignment horizontal="center"/>
    </xf>
    <xf numFmtId="38" fontId="40" fillId="2" borderId="42" xfId="17" applyFont="1" applyFill="1" applyBorder="1" applyAlignment="1">
      <alignment horizontal="right"/>
    </xf>
    <xf numFmtId="0" fontId="32" fillId="2" borderId="42" xfId="0" applyFont="1" applyFill="1" applyBorder="1" applyAlignment="1">
      <alignment horizontal="center"/>
    </xf>
    <xf numFmtId="179" fontId="32" fillId="2" borderId="159" xfId="15" applyNumberFormat="1" applyFont="1" applyFill="1" applyBorder="1" applyAlignment="1">
      <alignment horizontal="center"/>
    </xf>
    <xf numFmtId="0" fontId="40" fillId="2" borderId="0" xfId="0" applyFont="1" applyFill="1" applyBorder="1" applyAlignment="1">
      <alignment horizontal="center"/>
    </xf>
    <xf numFmtId="38" fontId="40" fillId="2" borderId="0" xfId="17" applyFont="1" applyFill="1" applyBorder="1" applyAlignment="1">
      <alignment horizontal="right"/>
    </xf>
    <xf numFmtId="179" fontId="32" fillId="2" borderId="161" xfId="15" applyNumberFormat="1" applyFont="1" applyFill="1" applyBorder="1" applyAlignment="1">
      <alignment horizontal="center"/>
    </xf>
    <xf numFmtId="0" fontId="32" fillId="2" borderId="160" xfId="0" applyFont="1" applyFill="1" applyBorder="1" applyAlignment="1">
      <alignment vertical="top"/>
    </xf>
    <xf numFmtId="38" fontId="32" fillId="2" borderId="0" xfId="17" applyFont="1" applyFill="1" applyBorder="1" applyAlignment="1">
      <alignment horizontal="center"/>
    </xf>
    <xf numFmtId="0" fontId="40" fillId="2" borderId="215" xfId="0" applyFont="1" applyFill="1" applyBorder="1" applyAlignment="1">
      <alignment horizontal="center"/>
    </xf>
    <xf numFmtId="38" fontId="32" fillId="2" borderId="121" xfId="0" applyNumberFormat="1" applyFont="1" applyFill="1" applyBorder="1" applyAlignment="1">
      <alignment/>
    </xf>
    <xf numFmtId="0" fontId="40" fillId="2" borderId="85" xfId="0" applyFont="1" applyFill="1" applyBorder="1" applyAlignment="1">
      <alignment horizontal="left"/>
    </xf>
    <xf numFmtId="0" fontId="40" fillId="2" borderId="216" xfId="0" applyFont="1" applyFill="1" applyBorder="1" applyAlignment="1">
      <alignment horizontal="left"/>
    </xf>
    <xf numFmtId="0" fontId="32" fillId="2" borderId="217" xfId="0" applyFont="1" applyFill="1" applyBorder="1" applyAlignment="1">
      <alignment horizontal="center"/>
    </xf>
    <xf numFmtId="38" fontId="32" fillId="2" borderId="130" xfId="0" applyNumberFormat="1" applyFont="1" applyFill="1" applyBorder="1" applyAlignment="1">
      <alignment/>
    </xf>
    <xf numFmtId="0" fontId="40" fillId="2" borderId="160" xfId="0" applyFont="1" applyFill="1" applyBorder="1" applyAlignment="1">
      <alignment horizontal="center"/>
    </xf>
    <xf numFmtId="0" fontId="40" fillId="2" borderId="96" xfId="0" applyFont="1" applyFill="1" applyBorder="1" applyAlignment="1">
      <alignment horizontal="center"/>
    </xf>
    <xf numFmtId="181" fontId="40" fillId="2" borderId="96" xfId="15" applyNumberFormat="1" applyFont="1" applyFill="1" applyBorder="1" applyAlignment="1">
      <alignment/>
    </xf>
    <xf numFmtId="181" fontId="40" fillId="2" borderId="218" xfId="15" applyNumberFormat="1" applyFont="1" applyFill="1" applyBorder="1" applyAlignment="1">
      <alignment/>
    </xf>
    <xf numFmtId="0" fontId="32" fillId="2" borderId="196" xfId="0" applyFont="1" applyFill="1" applyBorder="1" applyAlignment="1">
      <alignment/>
    </xf>
    <xf numFmtId="0" fontId="32" fillId="2" borderId="81" xfId="0" applyFont="1" applyFill="1" applyBorder="1" applyAlignment="1">
      <alignment/>
    </xf>
    <xf numFmtId="0" fontId="40" fillId="2" borderId="219" xfId="0" applyFont="1" applyFill="1" applyBorder="1" applyAlignment="1">
      <alignment horizontal="center"/>
    </xf>
    <xf numFmtId="0" fontId="32" fillId="2" borderId="90" xfId="0" applyFont="1" applyFill="1" applyBorder="1" applyAlignment="1">
      <alignment/>
    </xf>
    <xf numFmtId="181" fontId="40" fillId="2" borderId="208" xfId="15" applyNumberFormat="1" applyFont="1" applyFill="1" applyBorder="1" applyAlignment="1">
      <alignment/>
    </xf>
    <xf numFmtId="0" fontId="40" fillId="2" borderId="220" xfId="0" applyFont="1" applyFill="1" applyBorder="1" applyAlignment="1">
      <alignment horizontal="left"/>
    </xf>
    <xf numFmtId="0" fontId="40" fillId="2" borderId="120" xfId="0" applyFont="1" applyFill="1" applyBorder="1" applyAlignment="1">
      <alignment horizontal="center"/>
    </xf>
    <xf numFmtId="0" fontId="32" fillId="2" borderId="120" xfId="0" applyFont="1" applyFill="1" applyBorder="1" applyAlignment="1">
      <alignment/>
    </xf>
    <xf numFmtId="0" fontId="32" fillId="2" borderId="221" xfId="0" applyFont="1" applyFill="1" applyBorder="1" applyAlignment="1">
      <alignment/>
    </xf>
    <xf numFmtId="0" fontId="40" fillId="2" borderId="222" xfId="0" applyFont="1" applyFill="1" applyBorder="1" applyAlignment="1">
      <alignment horizontal="center"/>
    </xf>
    <xf numFmtId="0" fontId="40" fillId="2" borderId="129" xfId="0" applyFont="1" applyFill="1" applyBorder="1" applyAlignment="1">
      <alignment horizontal="center"/>
    </xf>
    <xf numFmtId="38" fontId="32" fillId="2" borderId="122" xfId="17" applyFont="1" applyFill="1" applyBorder="1" applyAlignment="1">
      <alignment horizontal="center"/>
    </xf>
    <xf numFmtId="38" fontId="32" fillId="2" borderId="123" xfId="17" applyFont="1" applyFill="1" applyBorder="1" applyAlignment="1">
      <alignment horizontal="center"/>
    </xf>
    <xf numFmtId="177" fontId="32" fillId="2" borderId="223" xfId="15" applyNumberFormat="1" applyFont="1" applyFill="1" applyBorder="1" applyAlignment="1">
      <alignment/>
    </xf>
    <xf numFmtId="0" fontId="32" fillId="2" borderId="196" xfId="0" applyFont="1" applyFill="1" applyBorder="1" applyAlignment="1">
      <alignment horizontal="center"/>
    </xf>
    <xf numFmtId="38" fontId="32" fillId="2" borderId="81" xfId="17" applyFont="1" applyFill="1" applyBorder="1" applyAlignment="1">
      <alignment horizontal="center"/>
    </xf>
    <xf numFmtId="0" fontId="40" fillId="2" borderId="17" xfId="0" applyFont="1" applyFill="1" applyBorder="1" applyAlignment="1">
      <alignment horizontal="left" vertical="top"/>
    </xf>
    <xf numFmtId="0" fontId="40" fillId="2" borderId="18" xfId="0" applyFont="1" applyFill="1" applyBorder="1" applyAlignment="1">
      <alignment horizontal="left"/>
    </xf>
    <xf numFmtId="0" fontId="32" fillId="2" borderId="18" xfId="0" applyFont="1" applyFill="1" applyBorder="1" applyAlignment="1">
      <alignment horizontal="left"/>
    </xf>
    <xf numFmtId="0" fontId="32" fillId="2" borderId="162" xfId="0" applyFont="1" applyFill="1" applyBorder="1" applyAlignment="1">
      <alignment/>
    </xf>
    <xf numFmtId="177" fontId="32" fillId="2" borderId="81" xfId="15" applyNumberFormat="1" applyFont="1" applyFill="1" applyBorder="1" applyAlignment="1">
      <alignment/>
    </xf>
    <xf numFmtId="0" fontId="40" fillId="2" borderId="17" xfId="0" applyFont="1" applyFill="1" applyBorder="1" applyAlignment="1">
      <alignment horizontal="left"/>
    </xf>
    <xf numFmtId="0" fontId="32" fillId="2" borderId="224" xfId="0" applyFont="1" applyFill="1" applyBorder="1" applyAlignment="1">
      <alignment/>
    </xf>
    <xf numFmtId="0" fontId="32" fillId="2" borderId="84" xfId="0" applyFont="1" applyFill="1" applyBorder="1" applyAlignment="1">
      <alignment/>
    </xf>
    <xf numFmtId="0" fontId="32" fillId="0" borderId="0" xfId="0" applyFont="1" applyAlignment="1">
      <alignment vertical="center"/>
    </xf>
    <xf numFmtId="0" fontId="32" fillId="0" borderId="93" xfId="0" applyFont="1" applyBorder="1" applyAlignment="1">
      <alignment horizontal="center"/>
    </xf>
    <xf numFmtId="0" fontId="32" fillId="0" borderId="121" xfId="0" applyFont="1" applyBorder="1" applyAlignment="1">
      <alignment horizontal="center" vertical="center"/>
    </xf>
    <xf numFmtId="0" fontId="32" fillId="0" borderId="85" xfId="0" applyFont="1" applyBorder="1" applyAlignment="1">
      <alignment horizontal="center" vertical="center"/>
    </xf>
    <xf numFmtId="0" fontId="32" fillId="0" borderId="85" xfId="0" applyFont="1" applyBorder="1" applyAlignment="1">
      <alignment horizontal="center"/>
    </xf>
    <xf numFmtId="0" fontId="32" fillId="0" borderId="86" xfId="0" applyFont="1" applyBorder="1" applyAlignment="1">
      <alignment/>
    </xf>
    <xf numFmtId="0" fontId="32" fillId="0" borderId="76" xfId="0" applyFont="1" applyBorder="1" applyAlignment="1">
      <alignment horizontal="center"/>
    </xf>
    <xf numFmtId="176" fontId="32" fillId="0" borderId="119" xfId="17" applyNumberFormat="1" applyFont="1" applyBorder="1" applyAlignment="1">
      <alignment/>
    </xf>
    <xf numFmtId="0" fontId="32" fillId="0" borderId="128" xfId="0" applyFont="1" applyBorder="1" applyAlignment="1">
      <alignment/>
    </xf>
    <xf numFmtId="0" fontId="32" fillId="0" borderId="80" xfId="0" applyFont="1" applyBorder="1" applyAlignment="1">
      <alignment horizontal="center"/>
    </xf>
    <xf numFmtId="189" fontId="32" fillId="0" borderId="80" xfId="0" applyNumberFormat="1" applyFont="1" applyBorder="1" applyAlignment="1">
      <alignment/>
    </xf>
    <xf numFmtId="0" fontId="32" fillId="0" borderId="81" xfId="0" applyFont="1" applyBorder="1" applyAlignment="1">
      <alignment horizontal="center"/>
    </xf>
    <xf numFmtId="0" fontId="32" fillId="0" borderId="78" xfId="0" applyFont="1" applyBorder="1" applyAlignment="1">
      <alignment horizontal="center"/>
    </xf>
    <xf numFmtId="176" fontId="32" fillId="0" borderId="122" xfId="17" applyNumberFormat="1" applyFont="1" applyBorder="1" applyAlignment="1">
      <alignment/>
    </xf>
    <xf numFmtId="0" fontId="32" fillId="0" borderId="129" xfId="0" applyFont="1" applyBorder="1" applyAlignment="1">
      <alignment/>
    </xf>
    <xf numFmtId="0" fontId="32" fillId="0" borderId="83" xfId="0" applyFont="1" applyBorder="1" applyAlignment="1">
      <alignment horizontal="center"/>
    </xf>
    <xf numFmtId="189" fontId="32" fillId="0" borderId="83" xfId="0" applyNumberFormat="1" applyFont="1" applyBorder="1" applyAlignment="1">
      <alignment/>
    </xf>
    <xf numFmtId="189" fontId="32" fillId="0" borderId="84" xfId="0" applyNumberFormat="1" applyFont="1" applyBorder="1" applyAlignment="1">
      <alignment/>
    </xf>
    <xf numFmtId="0" fontId="32" fillId="0" borderId="42" xfId="0" applyFont="1" applyBorder="1" applyAlignment="1">
      <alignment/>
    </xf>
    <xf numFmtId="0" fontId="32" fillId="0" borderId="42" xfId="0" applyFont="1" applyBorder="1" applyAlignment="1">
      <alignment horizontal="center"/>
    </xf>
    <xf numFmtId="0" fontId="32" fillId="0" borderId="0" xfId="0" applyFont="1" applyBorder="1" applyAlignment="1">
      <alignment/>
    </xf>
    <xf numFmtId="0" fontId="32" fillId="0" borderId="126" xfId="0" applyFont="1" applyBorder="1" applyAlignment="1">
      <alignment horizontal="center"/>
    </xf>
    <xf numFmtId="0" fontId="32" fillId="0" borderId="130" xfId="0" applyFont="1" applyBorder="1" applyAlignment="1">
      <alignment horizontal="center"/>
    </xf>
    <xf numFmtId="0" fontId="32" fillId="0" borderId="76" xfId="0" applyFont="1" applyBorder="1" applyAlignment="1">
      <alignment horizontal="left"/>
    </xf>
    <xf numFmtId="38" fontId="32" fillId="0" borderId="80" xfId="17" applyFont="1" applyBorder="1" applyAlignment="1" applyProtection="1">
      <alignment horizontal="center"/>
      <protection locked="0"/>
    </xf>
    <xf numFmtId="191" fontId="32" fillId="0" borderId="80" xfId="17" applyNumberFormat="1" applyFont="1" applyBorder="1" applyAlignment="1" applyProtection="1">
      <alignment horizontal="right"/>
      <protection locked="0"/>
    </xf>
    <xf numFmtId="191" fontId="32" fillId="0" borderId="81" xfId="17" applyNumberFormat="1" applyFont="1" applyBorder="1" applyAlignment="1" applyProtection="1">
      <alignment/>
      <protection locked="0"/>
    </xf>
    <xf numFmtId="38" fontId="32" fillId="0" borderId="83" xfId="17" applyFont="1" applyBorder="1" applyAlignment="1">
      <alignment/>
    </xf>
    <xf numFmtId="38" fontId="32" fillId="0" borderId="84" xfId="17" applyFont="1" applyBorder="1" applyAlignment="1">
      <alignment/>
    </xf>
    <xf numFmtId="0" fontId="32" fillId="0" borderId="18" xfId="0" applyFont="1" applyBorder="1" applyAlignment="1" applyProtection="1">
      <alignment horizontal="left" vertical="top" indent="1"/>
      <protection locked="0"/>
    </xf>
    <xf numFmtId="0" fontId="32" fillId="0" borderId="0" xfId="0" applyFont="1" applyBorder="1" applyAlignment="1">
      <alignment horizontal="center"/>
    </xf>
    <xf numFmtId="38" fontId="32" fillId="0" borderId="0" xfId="17" applyFont="1" applyBorder="1" applyAlignment="1">
      <alignment/>
    </xf>
    <xf numFmtId="38" fontId="32" fillId="0" borderId="42" xfId="17" applyFont="1" applyBorder="1" applyAlignment="1">
      <alignment/>
    </xf>
    <xf numFmtId="0" fontId="32" fillId="0" borderId="42" xfId="0" applyFont="1" applyBorder="1" applyAlignment="1">
      <alignment/>
    </xf>
    <xf numFmtId="0" fontId="32" fillId="0" borderId="188" xfId="0" applyFont="1" applyBorder="1" applyAlignment="1">
      <alignment horizontal="center"/>
    </xf>
    <xf numFmtId="0" fontId="32" fillId="0" borderId="121" xfId="0" applyFont="1" applyBorder="1" applyAlignment="1">
      <alignment horizontal="center"/>
    </xf>
    <xf numFmtId="0" fontId="32" fillId="0" borderId="127" xfId="0" applyFont="1" applyBorder="1" applyAlignment="1">
      <alignment horizontal="center"/>
    </xf>
    <xf numFmtId="38" fontId="32" fillId="0" borderId="121" xfId="17" applyFont="1" applyBorder="1" applyAlignment="1">
      <alignment horizontal="center"/>
    </xf>
    <xf numFmtId="38" fontId="32" fillId="0" borderId="85" xfId="17" applyFont="1" applyBorder="1" applyAlignment="1">
      <alignment horizontal="center"/>
    </xf>
    <xf numFmtId="38" fontId="32" fillId="0" borderId="86" xfId="17" applyFont="1" applyBorder="1" applyAlignment="1">
      <alignment horizontal="center"/>
    </xf>
    <xf numFmtId="0" fontId="32" fillId="0" borderId="184" xfId="0" applyFont="1" applyBorder="1" applyAlignment="1">
      <alignment/>
    </xf>
    <xf numFmtId="191" fontId="32" fillId="0" borderId="80" xfId="17" applyNumberFormat="1" applyFont="1" applyBorder="1" applyAlignment="1">
      <alignment/>
    </xf>
    <xf numFmtId="10" fontId="32" fillId="0" borderId="81" xfId="15" applyNumberFormat="1" applyFont="1" applyBorder="1" applyAlignment="1" applyProtection="1">
      <alignment/>
      <protection locked="0"/>
    </xf>
    <xf numFmtId="0" fontId="32" fillId="0" borderId="184" xfId="0" applyFont="1" applyBorder="1" applyAlignment="1">
      <alignment/>
    </xf>
    <xf numFmtId="0" fontId="32" fillId="0" borderId="225" xfId="0" applyFont="1" applyBorder="1" applyAlignment="1">
      <alignment/>
    </xf>
    <xf numFmtId="180" fontId="32" fillId="0" borderId="81" xfId="15" applyNumberFormat="1" applyFont="1" applyBorder="1" applyAlignment="1" applyProtection="1">
      <alignment/>
      <protection locked="0"/>
    </xf>
    <xf numFmtId="181" fontId="32" fillId="0" borderId="81" xfId="15" applyNumberFormat="1" applyFont="1" applyBorder="1" applyAlignment="1">
      <alignment/>
    </xf>
    <xf numFmtId="0" fontId="32" fillId="0" borderId="185" xfId="0" applyFont="1" applyBorder="1" applyAlignment="1">
      <alignment/>
    </xf>
    <xf numFmtId="191" fontId="32" fillId="0" borderId="83" xfId="17" applyNumberFormat="1" applyFont="1" applyBorder="1" applyAlignment="1">
      <alignment/>
    </xf>
    <xf numFmtId="0" fontId="32" fillId="0" borderId="122" xfId="0" applyFont="1" applyBorder="1" applyAlignment="1">
      <alignment/>
    </xf>
    <xf numFmtId="0" fontId="32" fillId="0" borderId="79" xfId="0" applyFont="1" applyBorder="1" applyAlignment="1">
      <alignment/>
    </xf>
    <xf numFmtId="0" fontId="32" fillId="0" borderId="18" xfId="0" applyFont="1" applyBorder="1" applyAlignment="1">
      <alignment vertical="top"/>
    </xf>
    <xf numFmtId="0" fontId="32" fillId="0" borderId="0" xfId="0" applyFont="1" applyBorder="1" applyAlignment="1">
      <alignment/>
    </xf>
    <xf numFmtId="0" fontId="32" fillId="0" borderId="39" xfId="0" applyFont="1" applyBorder="1" applyAlignment="1">
      <alignment/>
    </xf>
    <xf numFmtId="0" fontId="32" fillId="0" borderId="39" xfId="0" applyFont="1" applyBorder="1" applyAlignment="1">
      <alignment/>
    </xf>
    <xf numFmtId="0" fontId="32" fillId="0" borderId="38" xfId="0" applyFont="1" applyBorder="1" applyAlignment="1">
      <alignment horizontal="center"/>
    </xf>
    <xf numFmtId="0" fontId="32" fillId="0" borderId="95" xfId="0" applyFont="1" applyBorder="1" applyAlignment="1">
      <alignment horizontal="center" vertical="center"/>
    </xf>
    <xf numFmtId="191" fontId="32" fillId="0" borderId="95" xfId="17" applyNumberFormat="1" applyFont="1" applyBorder="1" applyAlignment="1">
      <alignment/>
    </xf>
    <xf numFmtId="0" fontId="32" fillId="0" borderId="121" xfId="0" applyFont="1" applyBorder="1" applyAlignment="1">
      <alignment horizontal="left" indent="2"/>
    </xf>
    <xf numFmtId="0" fontId="32" fillId="0" borderId="85" xfId="0" applyFont="1" applyBorder="1" applyAlignment="1">
      <alignment horizontal="left" indent="2"/>
    </xf>
    <xf numFmtId="10" fontId="32" fillId="0" borderId="130" xfId="15" applyNumberFormat="1" applyFont="1" applyBorder="1" applyAlignment="1" applyProtection="1">
      <alignment horizontal="right"/>
      <protection locked="0"/>
    </xf>
    <xf numFmtId="0" fontId="32" fillId="0" borderId="41" xfId="0" applyFont="1" applyBorder="1" applyAlignment="1">
      <alignment horizontal="center"/>
    </xf>
    <xf numFmtId="191" fontId="32" fillId="0" borderId="90" xfId="17" applyNumberFormat="1" applyFont="1" applyBorder="1" applyAlignment="1">
      <alignment/>
    </xf>
    <xf numFmtId="0" fontId="32" fillId="0" borderId="175" xfId="0" applyFont="1" applyBorder="1" applyAlignment="1">
      <alignment horizontal="left" indent="2"/>
    </xf>
    <xf numFmtId="0" fontId="32" fillId="0" borderId="176" xfId="0" applyFont="1" applyBorder="1" applyAlignment="1">
      <alignment horizontal="left" indent="2"/>
    </xf>
    <xf numFmtId="191" fontId="32" fillId="0" borderId="98" xfId="17" applyNumberFormat="1" applyFont="1" applyBorder="1" applyAlignment="1" applyProtection="1">
      <alignment horizontal="right"/>
      <protection locked="0"/>
    </xf>
    <xf numFmtId="0" fontId="32" fillId="0" borderId="41" xfId="0" applyFont="1" applyBorder="1" applyAlignment="1">
      <alignment/>
    </xf>
    <xf numFmtId="0" fontId="32" fillId="0" borderId="119" xfId="0" applyFont="1" applyBorder="1" applyAlignment="1">
      <alignment horizontal="left" indent="2"/>
    </xf>
    <xf numFmtId="0" fontId="32" fillId="0" borderId="120" xfId="0" applyFont="1" applyBorder="1" applyAlignment="1">
      <alignment horizontal="left" indent="2"/>
    </xf>
    <xf numFmtId="10" fontId="32" fillId="0" borderId="81" xfId="15" applyNumberFormat="1" applyFont="1" applyBorder="1" applyAlignment="1" applyProtection="1">
      <alignment horizontal="right"/>
      <protection locked="0"/>
    </xf>
    <xf numFmtId="0" fontId="32" fillId="0" borderId="34" xfId="0" applyFont="1" applyBorder="1" applyAlignment="1">
      <alignment/>
    </xf>
    <xf numFmtId="191" fontId="32" fillId="0" borderId="83" xfId="17" applyNumberFormat="1" applyFont="1" applyBorder="1" applyAlignment="1">
      <alignment horizontal="right"/>
    </xf>
    <xf numFmtId="0" fontId="32" fillId="0" borderId="122" xfId="0" applyFont="1" applyBorder="1" applyAlignment="1">
      <alignment horizontal="right"/>
    </xf>
    <xf numFmtId="0" fontId="32" fillId="0" borderId="129" xfId="0" applyFont="1" applyBorder="1" applyAlignment="1">
      <alignment horizontal="right"/>
    </xf>
    <xf numFmtId="179" fontId="32" fillId="0" borderId="84" xfId="15" applyNumberFormat="1" applyFont="1" applyBorder="1" applyAlignment="1">
      <alignment horizontal="right"/>
    </xf>
    <xf numFmtId="38" fontId="32" fillId="0" borderId="0" xfId="17" applyFont="1" applyBorder="1" applyAlignment="1">
      <alignment horizontal="center"/>
    </xf>
    <xf numFmtId="179" fontId="32" fillId="0" borderId="18" xfId="15" applyNumberFormat="1" applyFont="1" applyBorder="1" applyAlignment="1">
      <alignment horizontal="center"/>
    </xf>
    <xf numFmtId="0" fontId="32" fillId="0" borderId="18" xfId="0" applyFont="1" applyBorder="1" applyAlignment="1">
      <alignment/>
    </xf>
    <xf numFmtId="10" fontId="32" fillId="0" borderId="126" xfId="15" applyNumberFormat="1" applyFont="1" applyBorder="1" applyAlignment="1">
      <alignment horizontal="center"/>
    </xf>
    <xf numFmtId="0" fontId="32" fillId="0" borderId="126" xfId="0" applyFont="1" applyBorder="1" applyAlignment="1">
      <alignment horizontal="left" indent="1"/>
    </xf>
    <xf numFmtId="181" fontId="32" fillId="0" borderId="130" xfId="15" applyNumberFormat="1" applyFont="1" applyBorder="1" applyAlignment="1">
      <alignment horizontal="right"/>
    </xf>
    <xf numFmtId="38" fontId="32" fillId="0" borderId="76" xfId="17" applyFont="1" applyBorder="1" applyAlignment="1">
      <alignment horizontal="center"/>
    </xf>
    <xf numFmtId="10" fontId="32" fillId="0" borderId="80" xfId="15" applyNumberFormat="1" applyFont="1" applyBorder="1" applyAlignment="1">
      <alignment horizontal="center"/>
    </xf>
    <xf numFmtId="0" fontId="32" fillId="0" borderId="80" xfId="0" applyFont="1" applyBorder="1" applyAlignment="1">
      <alignment horizontal="left" indent="1"/>
    </xf>
    <xf numFmtId="181" fontId="32" fillId="0" borderId="81" xfId="0" applyNumberFormat="1" applyFont="1" applyBorder="1" applyAlignment="1">
      <alignment horizontal="right"/>
    </xf>
    <xf numFmtId="0" fontId="32" fillId="0" borderId="183" xfId="0" applyFont="1" applyBorder="1" applyAlignment="1">
      <alignment horizontal="center"/>
    </xf>
    <xf numFmtId="182" fontId="32" fillId="0" borderId="97" xfId="0" applyNumberFormat="1" applyFont="1" applyBorder="1" applyAlignment="1">
      <alignment horizontal="center"/>
    </xf>
    <xf numFmtId="0" fontId="32" fillId="0" borderId="173" xfId="0" applyFont="1" applyBorder="1" applyAlignment="1">
      <alignment horizontal="left" vertical="center" shrinkToFit="1"/>
    </xf>
    <xf numFmtId="0" fontId="32" fillId="0" borderId="87" xfId="0" applyFont="1" applyBorder="1" applyAlignment="1">
      <alignment horizontal="left" vertical="center" shrinkToFit="1"/>
    </xf>
    <xf numFmtId="0" fontId="32" fillId="0" borderId="88" xfId="0" applyFont="1" applyBorder="1" applyAlignment="1">
      <alignment horizontal="left" vertical="center" shrinkToFit="1"/>
    </xf>
    <xf numFmtId="0" fontId="32" fillId="0" borderId="94" xfId="0" applyFont="1" applyBorder="1" applyAlignment="1">
      <alignment horizontal="center"/>
    </xf>
    <xf numFmtId="0" fontId="32" fillId="0" borderId="90" xfId="0" applyFont="1" applyBorder="1" applyAlignment="1">
      <alignment horizontal="center"/>
    </xf>
    <xf numFmtId="0" fontId="32" fillId="0" borderId="175" xfId="0" applyFont="1" applyBorder="1" applyAlignment="1">
      <alignment horizontal="left" vertical="center"/>
    </xf>
    <xf numFmtId="0" fontId="32" fillId="0" borderId="176" xfId="0" applyFont="1" applyBorder="1" applyAlignment="1">
      <alignment horizontal="left" vertical="center"/>
    </xf>
    <xf numFmtId="0" fontId="32" fillId="0" borderId="177" xfId="0" applyFont="1" applyBorder="1" applyAlignment="1">
      <alignment horizontal="left" vertical="center"/>
    </xf>
    <xf numFmtId="0" fontId="32" fillId="0" borderId="183" xfId="0" applyFont="1" applyBorder="1" applyAlignment="1">
      <alignment horizontal="center" vertical="center"/>
    </xf>
    <xf numFmtId="38" fontId="32" fillId="0" borderId="81" xfId="0" applyNumberFormat="1" applyFont="1" applyBorder="1" applyAlignment="1">
      <alignment/>
    </xf>
    <xf numFmtId="0" fontId="32" fillId="0" borderId="94" xfId="0" applyFont="1" applyBorder="1" applyAlignment="1">
      <alignment horizontal="center" vertical="center"/>
    </xf>
    <xf numFmtId="181" fontId="32" fillId="0" borderId="81" xfId="15" applyNumberFormat="1" applyFont="1" applyBorder="1" applyAlignment="1">
      <alignment horizontal="right"/>
    </xf>
    <xf numFmtId="0" fontId="32" fillId="0" borderId="119" xfId="0" applyFont="1" applyBorder="1" applyAlignment="1">
      <alignment horizontal="left" vertical="center" indent="1"/>
    </xf>
    <xf numFmtId="0" fontId="32" fillId="0" borderId="120" xfId="0" applyFont="1" applyBorder="1" applyAlignment="1">
      <alignment horizontal="left" indent="1"/>
    </xf>
    <xf numFmtId="0" fontId="32" fillId="0" borderId="81" xfId="0" applyFont="1" applyBorder="1" applyAlignment="1">
      <alignment horizontal="left" indent="1"/>
    </xf>
    <xf numFmtId="0" fontId="32" fillId="0" borderId="80" xfId="0" applyFont="1" applyBorder="1" applyAlignment="1">
      <alignment horizontal="left" indent="1"/>
    </xf>
    <xf numFmtId="38" fontId="32" fillId="0" borderId="119" xfId="17" applyFont="1" applyBorder="1" applyAlignment="1">
      <alignment horizontal="center"/>
    </xf>
    <xf numFmtId="38" fontId="32" fillId="0" borderId="128" xfId="17" applyFont="1" applyBorder="1" applyAlignment="1">
      <alignment horizontal="center"/>
    </xf>
    <xf numFmtId="177" fontId="32" fillId="0" borderId="81" xfId="15" applyNumberFormat="1" applyFont="1" applyBorder="1" applyAlignment="1">
      <alignment/>
    </xf>
    <xf numFmtId="0" fontId="32" fillId="0" borderId="184" xfId="0" applyFont="1" applyBorder="1" applyAlignment="1">
      <alignment horizontal="center" vertical="center"/>
    </xf>
    <xf numFmtId="38" fontId="32" fillId="0" borderId="175" xfId="17" applyFont="1" applyBorder="1" applyAlignment="1">
      <alignment horizontal="center"/>
    </xf>
    <xf numFmtId="38" fontId="32" fillId="0" borderId="178" xfId="17" applyFont="1" applyBorder="1" applyAlignment="1">
      <alignment horizontal="center"/>
    </xf>
    <xf numFmtId="0" fontId="32" fillId="0" borderId="185" xfId="0" applyFont="1" applyBorder="1" applyAlignment="1">
      <alignment horizontal="center" vertical="center"/>
    </xf>
    <xf numFmtId="0" fontId="32" fillId="0" borderId="122" xfId="0" applyFont="1" applyBorder="1" applyAlignment="1">
      <alignment horizontal="left" vertical="center" indent="1"/>
    </xf>
    <xf numFmtId="0" fontId="32" fillId="0" borderId="123" xfId="0" applyFont="1" applyBorder="1" applyAlignment="1">
      <alignment horizontal="left" vertical="center" indent="1"/>
    </xf>
    <xf numFmtId="0" fontId="32" fillId="0" borderId="129" xfId="0" applyFont="1" applyBorder="1" applyAlignment="1">
      <alignment horizontal="left" vertical="center" indent="1"/>
    </xf>
    <xf numFmtId="0" fontId="32" fillId="0" borderId="84" xfId="0" applyFont="1" applyBorder="1" applyAlignment="1">
      <alignment horizontal="right"/>
    </xf>
    <xf numFmtId="0" fontId="34" fillId="0" borderId="0" xfId="0" applyFont="1" applyAlignment="1">
      <alignment horizontal="left"/>
    </xf>
    <xf numFmtId="0" fontId="32" fillId="0" borderId="0" xfId="0" applyFont="1" applyAlignment="1">
      <alignment horizontal="left"/>
    </xf>
    <xf numFmtId="0" fontId="32" fillId="0" borderId="0" xfId="0" applyFont="1" applyAlignment="1">
      <alignment horizontal="center"/>
    </xf>
    <xf numFmtId="38" fontId="32" fillId="0" borderId="0" xfId="17" applyFont="1" applyAlignment="1">
      <alignment/>
    </xf>
    <xf numFmtId="57" fontId="32" fillId="0" borderId="0" xfId="0" applyNumberFormat="1" applyFont="1" applyAlignment="1">
      <alignment/>
    </xf>
    <xf numFmtId="0" fontId="32" fillId="0" borderId="0" xfId="0" applyFont="1" applyBorder="1" applyAlignment="1">
      <alignment horizontal="left" vertical="center"/>
    </xf>
    <xf numFmtId="0" fontId="32" fillId="0" borderId="0" xfId="0" applyFont="1" applyBorder="1" applyAlignment="1">
      <alignment horizontal="left" vertical="center" indent="6"/>
    </xf>
    <xf numFmtId="0" fontId="32" fillId="0" borderId="127" xfId="0" applyFont="1" applyBorder="1" applyAlignment="1">
      <alignment horizontal="center"/>
    </xf>
    <xf numFmtId="38" fontId="32" fillId="0" borderId="126" xfId="17" applyFont="1" applyBorder="1" applyAlignment="1">
      <alignment horizontal="center"/>
    </xf>
    <xf numFmtId="57" fontId="32" fillId="0" borderId="126" xfId="0" applyNumberFormat="1" applyFont="1" applyBorder="1" applyAlignment="1">
      <alignment horizontal="center"/>
    </xf>
    <xf numFmtId="0" fontId="32" fillId="0" borderId="76" xfId="0" applyFont="1" applyBorder="1" applyAlignment="1" applyProtection="1">
      <alignment horizontal="center"/>
      <protection locked="0"/>
    </xf>
    <xf numFmtId="0" fontId="32" fillId="0" borderId="128" xfId="0" applyFont="1" applyBorder="1" applyAlignment="1" applyProtection="1">
      <alignment horizontal="center"/>
      <protection locked="0"/>
    </xf>
    <xf numFmtId="40" fontId="32" fillId="0" borderId="80" xfId="17" applyNumberFormat="1" applyFont="1" applyBorder="1" applyAlignment="1" applyProtection="1">
      <alignment/>
      <protection locked="0"/>
    </xf>
    <xf numFmtId="192" fontId="32" fillId="0" borderId="80" xfId="0" applyNumberFormat="1" applyFont="1" applyBorder="1" applyAlignment="1" applyProtection="1">
      <alignment horizontal="center"/>
      <protection locked="0"/>
    </xf>
    <xf numFmtId="38" fontId="32" fillId="0" borderId="80" xfId="17" applyFont="1" applyBorder="1" applyAlignment="1" applyProtection="1">
      <alignment/>
      <protection locked="0"/>
    </xf>
    <xf numFmtId="0" fontId="32" fillId="0" borderId="80" xfId="0" applyFont="1" applyBorder="1" applyAlignment="1" applyProtection="1">
      <alignment/>
      <protection locked="0"/>
    </xf>
    <xf numFmtId="0" fontId="32" fillId="0" borderId="80" xfId="0" applyFont="1" applyBorder="1" applyAlignment="1" applyProtection="1">
      <alignment horizontal="left"/>
      <protection locked="0"/>
    </xf>
    <xf numFmtId="57" fontId="32" fillId="0" borderId="80" xfId="0" applyNumberFormat="1" applyFont="1" applyBorder="1" applyAlignment="1" applyProtection="1">
      <alignment/>
      <protection locked="0"/>
    </xf>
    <xf numFmtId="0" fontId="32" fillId="0" borderId="81" xfId="0" applyFont="1" applyBorder="1" applyAlignment="1" applyProtection="1">
      <alignment horizontal="left" vertical="center" wrapText="1" indent="1"/>
      <protection locked="0"/>
    </xf>
    <xf numFmtId="0" fontId="32" fillId="0" borderId="129" xfId="0" applyFont="1" applyBorder="1" applyAlignment="1">
      <alignment horizontal="center"/>
    </xf>
    <xf numFmtId="40" fontId="32" fillId="0" borderId="83" xfId="17" applyNumberFormat="1" applyFont="1" applyBorder="1" applyAlignment="1">
      <alignment/>
    </xf>
    <xf numFmtId="192" fontId="32" fillId="0" borderId="83" xfId="0" applyNumberFormat="1" applyFont="1" applyBorder="1" applyAlignment="1">
      <alignment horizontal="center"/>
    </xf>
    <xf numFmtId="38" fontId="32" fillId="0" borderId="83" xfId="17" applyFont="1" applyBorder="1" applyAlignment="1">
      <alignment/>
    </xf>
    <xf numFmtId="0" fontId="32" fillId="0" borderId="83" xfId="0" applyFont="1" applyBorder="1" applyAlignment="1">
      <alignment/>
    </xf>
    <xf numFmtId="0" fontId="32" fillId="0" borderId="83" xfId="0" applyFont="1" applyBorder="1" applyAlignment="1">
      <alignment horizontal="left"/>
    </xf>
    <xf numFmtId="57" fontId="32" fillId="0" borderId="83" xfId="0" applyNumberFormat="1" applyFont="1" applyBorder="1" applyAlignment="1">
      <alignment/>
    </xf>
    <xf numFmtId="0" fontId="32" fillId="0" borderId="84" xfId="0" applyFont="1" applyBorder="1" applyAlignment="1">
      <alignment horizontal="left" indent="1"/>
    </xf>
    <xf numFmtId="0" fontId="32" fillId="0" borderId="0" xfId="0" applyFont="1" applyAlignment="1">
      <alignment horizontal="left" inden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D1FFD1"/>
      <rgbColor rgb="00FFFFCC"/>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514350</xdr:colOff>
      <xdr:row>12</xdr:row>
      <xdr:rowOff>57150</xdr:rowOff>
    </xdr:from>
    <xdr:to>
      <xdr:col>8</xdr:col>
      <xdr:colOff>333375</xdr:colOff>
      <xdr:row>13</xdr:row>
      <xdr:rowOff>0</xdr:rowOff>
    </xdr:to>
    <xdr:grpSp>
      <xdr:nvGrpSpPr>
        <xdr:cNvPr id="1" name="Group 22"/>
        <xdr:cNvGrpSpPr>
          <a:grpSpLocks/>
        </xdr:cNvGrpSpPr>
      </xdr:nvGrpSpPr>
      <xdr:grpSpPr>
        <a:xfrm>
          <a:off x="1724025" y="3657600"/>
          <a:ext cx="6953250" cy="571500"/>
          <a:chOff x="41" y="46"/>
          <a:chExt cx="481" cy="40"/>
        </a:xfrm>
        <a:solidFill>
          <a:srgbClr val="FFFFFF"/>
        </a:solidFill>
      </xdr:grpSpPr>
      <xdr:grpSp>
        <xdr:nvGrpSpPr>
          <xdr:cNvPr id="2" name="Group 23"/>
          <xdr:cNvGrpSpPr>
            <a:grpSpLocks/>
          </xdr:cNvGrpSpPr>
        </xdr:nvGrpSpPr>
        <xdr:grpSpPr>
          <a:xfrm>
            <a:off x="41" y="46"/>
            <a:ext cx="479" cy="36"/>
            <a:chOff x="85" y="337"/>
            <a:chExt cx="506" cy="43"/>
          </a:xfrm>
          <a:solidFill>
            <a:srgbClr val="FFFFFF"/>
          </a:solidFill>
        </xdr:grpSpPr>
        <xdr:sp>
          <xdr:nvSpPr>
            <xdr:cNvPr id="3" name="Rectangle 24"/>
            <xdr:cNvSpPr>
              <a:spLocks/>
            </xdr:cNvSpPr>
          </xdr:nvSpPr>
          <xdr:spPr>
            <a:xfrm>
              <a:off x="85" y="337"/>
              <a:ext cx="506" cy="43"/>
            </a:xfrm>
            <a:prstGeom prst="rect">
              <a:avLst/>
            </a:prstGeom>
            <a:solidFill>
              <a:srgbClr val="FFFFFF"/>
            </a:solidFill>
            <a:ln w="3175" cmpd="sng">
              <a:solidFill>
                <a:srgbClr val="424242"/>
              </a:solidFill>
              <a:headEnd type="none"/>
              <a:tailEnd type="none"/>
            </a:ln>
          </xdr:spPr>
          <xdr:txBody>
            <a:bodyPr vertOverflow="clip" wrap="square"/>
            <a:p>
              <a:pPr algn="l">
                <a:defRPr/>
              </a:pPr>
              <a:r>
                <a:rPr lang="en-US" cap="none" u="none" baseline="0">
                  <a:latin typeface="Osaka"/>
                  <a:ea typeface="Osaka"/>
                  <a:cs typeface="Osaka"/>
                </a:rPr>
                <a:t/>
              </a:r>
            </a:p>
          </xdr:txBody>
        </xdr:sp>
        <xdr:sp>
          <xdr:nvSpPr>
            <xdr:cNvPr id="4" name="Line 25"/>
            <xdr:cNvSpPr>
              <a:spLocks/>
            </xdr:cNvSpPr>
          </xdr:nvSpPr>
          <xdr:spPr>
            <a:xfrm>
              <a:off x="130" y="337"/>
              <a:ext cx="0" cy="43"/>
            </a:xfrm>
            <a:prstGeom prst="line">
              <a:avLst/>
            </a:prstGeom>
            <a:noFill/>
            <a:ln w="3175" cmpd="sng">
              <a:solidFill>
                <a:srgbClr val="424242"/>
              </a:solidFill>
              <a:headEnd type="none"/>
              <a:tailEnd type="none"/>
            </a:ln>
          </xdr:spPr>
          <xdr:txBody>
            <a:bodyPr vertOverflow="clip" wrap="square"/>
            <a:p>
              <a:pPr algn="l">
                <a:defRPr/>
              </a:pPr>
              <a:r>
                <a:rPr lang="en-US" cap="none" u="none" baseline="0">
                  <a:latin typeface="Osaka"/>
                  <a:ea typeface="Osaka"/>
                  <a:cs typeface="Osaka"/>
                </a:rPr>
                <a:t/>
              </a:r>
            </a:p>
          </xdr:txBody>
        </xdr:sp>
        <xdr:sp>
          <xdr:nvSpPr>
            <xdr:cNvPr id="5" name="Line 26"/>
            <xdr:cNvSpPr>
              <a:spLocks/>
            </xdr:cNvSpPr>
          </xdr:nvSpPr>
          <xdr:spPr>
            <a:xfrm>
              <a:off x="220" y="337"/>
              <a:ext cx="0" cy="43"/>
            </a:xfrm>
            <a:prstGeom prst="line">
              <a:avLst/>
            </a:prstGeom>
            <a:noFill/>
            <a:ln w="3175" cmpd="sng">
              <a:solidFill>
                <a:srgbClr val="424242"/>
              </a:solidFill>
              <a:headEnd type="none"/>
              <a:tailEnd type="none"/>
            </a:ln>
          </xdr:spPr>
          <xdr:txBody>
            <a:bodyPr vertOverflow="clip" wrap="square"/>
            <a:p>
              <a:pPr algn="l">
                <a:defRPr/>
              </a:pPr>
              <a:r>
                <a:rPr lang="en-US" cap="none" u="none" baseline="0">
                  <a:latin typeface="Osaka"/>
                  <a:ea typeface="Osaka"/>
                  <a:cs typeface="Osaka"/>
                </a:rPr>
                <a:t/>
              </a:r>
            </a:p>
          </xdr:txBody>
        </xdr:sp>
        <xdr:sp>
          <xdr:nvSpPr>
            <xdr:cNvPr id="6" name="Line 27"/>
            <xdr:cNvSpPr>
              <a:spLocks/>
            </xdr:cNvSpPr>
          </xdr:nvSpPr>
          <xdr:spPr>
            <a:xfrm>
              <a:off x="175" y="337"/>
              <a:ext cx="0" cy="43"/>
            </a:xfrm>
            <a:prstGeom prst="line">
              <a:avLst/>
            </a:prstGeom>
            <a:noFill/>
            <a:ln w="3175" cmpd="sng">
              <a:solidFill>
                <a:srgbClr val="424242"/>
              </a:solidFill>
              <a:headEnd type="none"/>
              <a:tailEnd type="none"/>
            </a:ln>
          </xdr:spPr>
          <xdr:txBody>
            <a:bodyPr vertOverflow="clip" wrap="square"/>
            <a:p>
              <a:pPr algn="l">
                <a:defRPr/>
              </a:pPr>
              <a:r>
                <a:rPr lang="en-US" cap="none" u="none" baseline="0">
                  <a:latin typeface="Osaka"/>
                  <a:ea typeface="Osaka"/>
                  <a:cs typeface="Osaka"/>
                </a:rPr>
                <a:t/>
              </a:r>
            </a:p>
          </xdr:txBody>
        </xdr:sp>
        <xdr:sp>
          <xdr:nvSpPr>
            <xdr:cNvPr id="7" name="Line 28"/>
            <xdr:cNvSpPr>
              <a:spLocks/>
            </xdr:cNvSpPr>
          </xdr:nvSpPr>
          <xdr:spPr>
            <a:xfrm>
              <a:off x="294" y="337"/>
              <a:ext cx="0" cy="43"/>
            </a:xfrm>
            <a:prstGeom prst="line">
              <a:avLst/>
            </a:prstGeom>
            <a:noFill/>
            <a:ln w="3175" cmpd="sng">
              <a:solidFill>
                <a:srgbClr val="424242"/>
              </a:solidFill>
              <a:headEnd type="none"/>
              <a:tailEnd type="none"/>
            </a:ln>
          </xdr:spPr>
          <xdr:txBody>
            <a:bodyPr vertOverflow="clip" wrap="square"/>
            <a:p>
              <a:pPr algn="l">
                <a:defRPr/>
              </a:pPr>
              <a:r>
                <a:rPr lang="en-US" cap="none" u="none" baseline="0">
                  <a:latin typeface="Osaka"/>
                  <a:ea typeface="Osaka"/>
                  <a:cs typeface="Osaka"/>
                </a:rPr>
                <a:t/>
              </a:r>
            </a:p>
          </xdr:txBody>
        </xdr:sp>
        <xdr:sp>
          <xdr:nvSpPr>
            <xdr:cNvPr id="8" name="Line 29"/>
            <xdr:cNvSpPr>
              <a:spLocks/>
            </xdr:cNvSpPr>
          </xdr:nvSpPr>
          <xdr:spPr>
            <a:xfrm>
              <a:off x="384" y="337"/>
              <a:ext cx="0" cy="43"/>
            </a:xfrm>
            <a:prstGeom prst="line">
              <a:avLst/>
            </a:prstGeom>
            <a:noFill/>
            <a:ln w="3175" cmpd="sng">
              <a:solidFill>
                <a:srgbClr val="424242"/>
              </a:solidFill>
              <a:headEnd type="none"/>
              <a:tailEnd type="none"/>
            </a:ln>
          </xdr:spPr>
          <xdr:txBody>
            <a:bodyPr vertOverflow="clip" wrap="square"/>
            <a:p>
              <a:pPr algn="l">
                <a:defRPr/>
              </a:pPr>
              <a:r>
                <a:rPr lang="en-US" cap="none" u="none" baseline="0">
                  <a:latin typeface="Osaka"/>
                  <a:ea typeface="Osaka"/>
                  <a:cs typeface="Osaka"/>
                </a:rPr>
                <a:t/>
              </a:r>
            </a:p>
          </xdr:txBody>
        </xdr:sp>
        <xdr:sp>
          <xdr:nvSpPr>
            <xdr:cNvPr id="9" name="Line 30"/>
            <xdr:cNvSpPr>
              <a:spLocks/>
            </xdr:cNvSpPr>
          </xdr:nvSpPr>
          <xdr:spPr>
            <a:xfrm>
              <a:off x="339" y="337"/>
              <a:ext cx="0" cy="43"/>
            </a:xfrm>
            <a:prstGeom prst="line">
              <a:avLst/>
            </a:prstGeom>
            <a:noFill/>
            <a:ln w="3175" cmpd="sng">
              <a:solidFill>
                <a:srgbClr val="424242"/>
              </a:solidFill>
              <a:headEnd type="none"/>
              <a:tailEnd type="none"/>
            </a:ln>
          </xdr:spPr>
          <xdr:txBody>
            <a:bodyPr vertOverflow="clip" wrap="square"/>
            <a:p>
              <a:pPr algn="l">
                <a:defRPr/>
              </a:pPr>
              <a:r>
                <a:rPr lang="en-US" cap="none" u="none" baseline="0">
                  <a:latin typeface="Osaka"/>
                  <a:ea typeface="Osaka"/>
                  <a:cs typeface="Osaka"/>
                </a:rPr>
                <a:t/>
              </a:r>
            </a:p>
          </xdr:txBody>
        </xdr:sp>
        <xdr:sp>
          <xdr:nvSpPr>
            <xdr:cNvPr id="10" name="Line 31"/>
            <xdr:cNvSpPr>
              <a:spLocks/>
            </xdr:cNvSpPr>
          </xdr:nvSpPr>
          <xdr:spPr>
            <a:xfrm>
              <a:off x="474" y="337"/>
              <a:ext cx="0" cy="43"/>
            </a:xfrm>
            <a:prstGeom prst="line">
              <a:avLst/>
            </a:prstGeom>
            <a:noFill/>
            <a:ln w="3175" cmpd="sng">
              <a:solidFill>
                <a:srgbClr val="424242"/>
              </a:solidFill>
              <a:headEnd type="none"/>
              <a:tailEnd type="none"/>
            </a:ln>
          </xdr:spPr>
          <xdr:txBody>
            <a:bodyPr vertOverflow="clip" wrap="square"/>
            <a:p>
              <a:pPr algn="l">
                <a:defRPr/>
              </a:pPr>
              <a:r>
                <a:rPr lang="en-US" cap="none" u="none" baseline="0">
                  <a:latin typeface="Osaka"/>
                  <a:ea typeface="Osaka"/>
                  <a:cs typeface="Osaka"/>
                </a:rPr>
                <a:t/>
              </a:r>
            </a:p>
          </xdr:txBody>
        </xdr:sp>
        <xdr:sp>
          <xdr:nvSpPr>
            <xdr:cNvPr id="11" name="Line 32"/>
            <xdr:cNvSpPr>
              <a:spLocks/>
            </xdr:cNvSpPr>
          </xdr:nvSpPr>
          <xdr:spPr>
            <a:xfrm>
              <a:off x="265" y="337"/>
              <a:ext cx="0" cy="43"/>
            </a:xfrm>
            <a:prstGeom prst="line">
              <a:avLst/>
            </a:prstGeom>
            <a:noFill/>
            <a:ln w="3175" cmpd="sng">
              <a:solidFill>
                <a:srgbClr val="424242"/>
              </a:solidFill>
              <a:headEnd type="none"/>
              <a:tailEnd type="none"/>
            </a:ln>
          </xdr:spPr>
          <xdr:txBody>
            <a:bodyPr vertOverflow="clip" wrap="square"/>
            <a:p>
              <a:pPr algn="l">
                <a:defRPr/>
              </a:pPr>
              <a:r>
                <a:rPr lang="en-US" cap="none" u="none" baseline="0">
                  <a:latin typeface="Osaka"/>
                  <a:ea typeface="Osaka"/>
                  <a:cs typeface="Osaka"/>
                </a:rPr>
                <a:t/>
              </a:r>
            </a:p>
          </xdr:txBody>
        </xdr:sp>
        <xdr:sp>
          <xdr:nvSpPr>
            <xdr:cNvPr id="12" name="Line 33"/>
            <xdr:cNvSpPr>
              <a:spLocks/>
            </xdr:cNvSpPr>
          </xdr:nvSpPr>
          <xdr:spPr>
            <a:xfrm>
              <a:off x="429" y="337"/>
              <a:ext cx="0" cy="43"/>
            </a:xfrm>
            <a:prstGeom prst="line">
              <a:avLst/>
            </a:prstGeom>
            <a:noFill/>
            <a:ln w="3175" cmpd="sng">
              <a:solidFill>
                <a:srgbClr val="424242"/>
              </a:solidFill>
              <a:headEnd type="none"/>
              <a:tailEnd type="none"/>
            </a:ln>
          </xdr:spPr>
          <xdr:txBody>
            <a:bodyPr vertOverflow="clip" wrap="square"/>
            <a:p>
              <a:pPr algn="l">
                <a:defRPr/>
              </a:pPr>
              <a:r>
                <a:rPr lang="en-US" cap="none" u="none" baseline="0">
                  <a:latin typeface="Osaka"/>
                  <a:ea typeface="Osaka"/>
                  <a:cs typeface="Osaka"/>
                </a:rPr>
                <a:t/>
              </a:r>
            </a:p>
          </xdr:txBody>
        </xdr:sp>
      </xdr:grpSp>
      <xdr:sp>
        <xdr:nvSpPr>
          <xdr:cNvPr id="13" name="TextBox 34"/>
          <xdr:cNvSpPr txBox="1">
            <a:spLocks noChangeArrowheads="1"/>
          </xdr:cNvSpPr>
        </xdr:nvSpPr>
        <xdr:spPr>
          <a:xfrm>
            <a:off x="407" y="57"/>
            <a:ext cx="33" cy="27"/>
          </a:xfrm>
          <a:prstGeom prst="rect">
            <a:avLst/>
          </a:prstGeom>
          <a:noFill/>
          <a:ln w="3175" cmpd="sng">
            <a:noFill/>
          </a:ln>
        </xdr:spPr>
        <xdr:txBody>
          <a:bodyPr vertOverflow="clip" wrap="square" anchor="ctr"/>
          <a:p>
            <a:pPr algn="ctr">
              <a:defRPr/>
            </a:pPr>
            <a:r>
              <a:rPr lang="en-US" cap="none" sz="1000" b="0" i="0" u="none" baseline="0"/>
              <a:t>万</a:t>
            </a:r>
          </a:p>
        </xdr:txBody>
      </xdr:sp>
      <xdr:sp>
        <xdr:nvSpPr>
          <xdr:cNvPr id="14" name="Line 35"/>
          <xdr:cNvSpPr>
            <a:spLocks/>
          </xdr:cNvSpPr>
        </xdr:nvSpPr>
        <xdr:spPr>
          <a:xfrm>
            <a:off x="479" y="46"/>
            <a:ext cx="0" cy="36"/>
          </a:xfrm>
          <a:prstGeom prst="line">
            <a:avLst/>
          </a:prstGeom>
          <a:noFill/>
          <a:ln w="3175" cmpd="sng">
            <a:solidFill>
              <a:srgbClr val="424242"/>
            </a:solidFill>
            <a:headEnd type="none"/>
            <a:tailEnd type="none"/>
          </a:ln>
        </xdr:spPr>
        <xdr:txBody>
          <a:bodyPr vertOverflow="clip" wrap="square"/>
          <a:p>
            <a:pPr algn="l">
              <a:defRPr/>
            </a:pPr>
            <a:r>
              <a:rPr lang="en-US" cap="none" u="none" baseline="0">
                <a:latin typeface="Osaka"/>
                <a:ea typeface="Osaka"/>
                <a:cs typeface="Osaka"/>
              </a:rPr>
              <a:t/>
            </a:r>
          </a:p>
        </xdr:txBody>
      </xdr:sp>
      <xdr:sp>
        <xdr:nvSpPr>
          <xdr:cNvPr id="15" name="Line 36"/>
          <xdr:cNvSpPr>
            <a:spLocks/>
          </xdr:cNvSpPr>
        </xdr:nvSpPr>
        <xdr:spPr>
          <a:xfrm>
            <a:off x="437" y="46"/>
            <a:ext cx="0" cy="36"/>
          </a:xfrm>
          <a:prstGeom prst="line">
            <a:avLst/>
          </a:prstGeom>
          <a:noFill/>
          <a:ln w="3175" cmpd="sng">
            <a:solidFill>
              <a:srgbClr val="424242"/>
            </a:solidFill>
            <a:headEnd type="none"/>
            <a:tailEnd type="none"/>
          </a:ln>
        </xdr:spPr>
        <xdr:txBody>
          <a:bodyPr vertOverflow="clip" wrap="square"/>
          <a:p>
            <a:pPr algn="l">
              <a:defRPr/>
            </a:pPr>
            <a:r>
              <a:rPr lang="en-US" cap="none" u="none" baseline="0">
                <a:latin typeface="Osaka"/>
                <a:ea typeface="Osaka"/>
                <a:cs typeface="Osaka"/>
              </a:rPr>
              <a:t/>
            </a:r>
          </a:p>
        </xdr:txBody>
      </xdr:sp>
      <xdr:sp>
        <xdr:nvSpPr>
          <xdr:cNvPr id="16" name="TextBox 37"/>
          <xdr:cNvSpPr txBox="1">
            <a:spLocks noChangeArrowheads="1"/>
          </xdr:cNvSpPr>
        </xdr:nvSpPr>
        <xdr:spPr>
          <a:xfrm>
            <a:off x="480" y="59"/>
            <a:ext cx="42" cy="23"/>
          </a:xfrm>
          <a:prstGeom prst="rect">
            <a:avLst/>
          </a:prstGeom>
          <a:noFill/>
          <a:ln w="3175" cmpd="sng">
            <a:noFill/>
          </a:ln>
        </xdr:spPr>
        <xdr:txBody>
          <a:bodyPr vertOverflow="clip" wrap="square" anchor="ctr"/>
          <a:p>
            <a:pPr algn="ctr">
              <a:defRPr/>
            </a:pPr>
            <a:r>
              <a:rPr lang="en-US" cap="none" sz="900" b="0" i="0" u="none" baseline="0"/>
              <a:t>千円</a:t>
            </a:r>
          </a:p>
        </xdr:txBody>
      </xdr:sp>
      <xdr:sp>
        <xdr:nvSpPr>
          <xdr:cNvPr id="17" name="TextBox 38"/>
          <xdr:cNvSpPr txBox="1">
            <a:spLocks noChangeArrowheads="1"/>
          </xdr:cNvSpPr>
        </xdr:nvSpPr>
        <xdr:spPr>
          <a:xfrm flipV="1">
            <a:off x="213" y="52"/>
            <a:ext cx="24" cy="34"/>
          </a:xfrm>
          <a:prstGeom prst="rect">
            <a:avLst/>
          </a:prstGeom>
          <a:noFill/>
          <a:ln w="3175" cmpd="sng">
            <a:noFill/>
          </a:ln>
        </xdr:spPr>
        <xdr:txBody>
          <a:bodyPr vertOverflow="clip" wrap="square" anchor="ctr"/>
          <a:p>
            <a:pPr algn="ctr">
              <a:defRPr/>
            </a:pPr>
            <a:r>
              <a:rPr lang="en-US" cap="none" sz="1000" b="0" i="0" u="none" baseline="0"/>
              <a:t>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V205"/>
  <sheetViews>
    <sheetView showZeros="0" tabSelected="1" workbookViewId="0" topLeftCell="A1">
      <selection activeCell="C4" sqref="C4:D4"/>
    </sheetView>
  </sheetViews>
  <sheetFormatPr defaultColWidth="8.796875" defaultRowHeight="15"/>
  <cols>
    <col min="1" max="13" width="10.59765625" style="5" customWidth="1"/>
    <col min="14" max="16384" width="11" style="5" customWidth="1"/>
  </cols>
  <sheetData>
    <row r="1" spans="1:22" ht="19.5" customHeight="1" thickBot="1">
      <c r="A1" s="1" t="s">
        <v>481</v>
      </c>
      <c r="B1" s="2"/>
      <c r="C1" s="2"/>
      <c r="D1" s="2"/>
      <c r="E1" s="3"/>
      <c r="F1" s="2"/>
      <c r="G1" s="4" t="s">
        <v>369</v>
      </c>
      <c r="H1" s="4"/>
      <c r="I1" s="4"/>
      <c r="J1" s="4"/>
      <c r="K1" s="4"/>
      <c r="L1" s="4"/>
      <c r="M1" s="4"/>
      <c r="N1" s="4"/>
      <c r="O1" s="4"/>
      <c r="P1" s="4"/>
      <c r="Q1" s="4"/>
      <c r="R1" s="4"/>
      <c r="S1" s="4"/>
      <c r="T1" s="4"/>
      <c r="U1" s="4"/>
      <c r="V1" s="4"/>
    </row>
    <row r="2" spans="1:22" ht="19.5" customHeight="1">
      <c r="A2" s="813" t="s">
        <v>370</v>
      </c>
      <c r="B2" s="6" t="s">
        <v>371</v>
      </c>
      <c r="C2" s="6" t="s">
        <v>220</v>
      </c>
      <c r="D2" s="7" t="s">
        <v>221</v>
      </c>
      <c r="E2" s="810" t="s">
        <v>222</v>
      </c>
      <c r="F2" s="806"/>
      <c r="G2" s="8">
        <v>1</v>
      </c>
      <c r="H2" s="9" t="s">
        <v>301</v>
      </c>
      <c r="I2" s="10" t="s">
        <v>302</v>
      </c>
      <c r="J2" s="11" t="s">
        <v>303</v>
      </c>
      <c r="K2" s="4"/>
      <c r="L2" s="4"/>
      <c r="M2" s="4"/>
      <c r="N2" s="4"/>
      <c r="O2" s="4"/>
      <c r="P2" s="4"/>
      <c r="Q2" s="4"/>
      <c r="R2" s="4"/>
      <c r="S2" s="4"/>
      <c r="T2" s="4"/>
      <c r="U2" s="4"/>
      <c r="V2" s="4"/>
    </row>
    <row r="3" spans="1:22" ht="19.5" customHeight="1">
      <c r="A3" s="811"/>
      <c r="B3" s="13">
        <v>18</v>
      </c>
      <c r="C3" s="13" t="s">
        <v>304</v>
      </c>
      <c r="D3" s="14">
        <v>999</v>
      </c>
      <c r="E3" s="814">
        <v>2</v>
      </c>
      <c r="F3" s="815"/>
      <c r="G3" s="15">
        <v>2</v>
      </c>
      <c r="H3" s="16" t="s">
        <v>305</v>
      </c>
      <c r="I3" s="17" t="s">
        <v>306</v>
      </c>
      <c r="J3" s="18" t="s">
        <v>307</v>
      </c>
      <c r="K3" s="4"/>
      <c r="L3" s="4"/>
      <c r="M3" s="4"/>
      <c r="N3" s="4"/>
      <c r="O3" s="4"/>
      <c r="P3" s="4"/>
      <c r="Q3" s="4"/>
      <c r="R3" s="4"/>
      <c r="S3" s="4"/>
      <c r="T3" s="4"/>
      <c r="U3" s="4"/>
      <c r="V3" s="4"/>
    </row>
    <row r="4" spans="1:22" ht="19.5" customHeight="1">
      <c r="A4" s="12" t="s">
        <v>308</v>
      </c>
      <c r="B4" s="19">
        <v>0</v>
      </c>
      <c r="C4" s="807" t="s">
        <v>425</v>
      </c>
      <c r="D4" s="808"/>
      <c r="E4" s="834" t="s">
        <v>426</v>
      </c>
      <c r="F4" s="812"/>
      <c r="G4" s="15">
        <v>3</v>
      </c>
      <c r="H4" s="16" t="s">
        <v>427</v>
      </c>
      <c r="I4" s="17" t="s">
        <v>224</v>
      </c>
      <c r="J4" s="18" t="s">
        <v>321</v>
      </c>
      <c r="K4" s="4"/>
      <c r="L4" s="4"/>
      <c r="M4" s="4"/>
      <c r="N4" s="4"/>
      <c r="O4" s="4"/>
      <c r="P4" s="4"/>
      <c r="Q4" s="4"/>
      <c r="R4" s="4"/>
      <c r="S4" s="4"/>
      <c r="T4" s="4"/>
      <c r="U4" s="4"/>
      <c r="V4" s="4"/>
    </row>
    <row r="5" spans="1:22" ht="19.5" customHeight="1">
      <c r="A5" s="770" t="s">
        <v>322</v>
      </c>
      <c r="B5" s="20" t="s">
        <v>423</v>
      </c>
      <c r="C5" s="20" t="s">
        <v>522</v>
      </c>
      <c r="D5" s="21" t="s">
        <v>524</v>
      </c>
      <c r="E5" s="814">
        <v>0</v>
      </c>
      <c r="F5" s="815"/>
      <c r="G5" s="15">
        <v>4</v>
      </c>
      <c r="H5" s="16" t="s">
        <v>525</v>
      </c>
      <c r="I5" s="17" t="s">
        <v>213</v>
      </c>
      <c r="J5" s="18" t="s">
        <v>202</v>
      </c>
      <c r="K5" s="4"/>
      <c r="L5" s="4"/>
      <c r="M5" s="4"/>
      <c r="N5" s="4"/>
      <c r="O5" s="4"/>
      <c r="P5" s="4"/>
      <c r="Q5" s="4"/>
      <c r="R5" s="4"/>
      <c r="S5" s="4"/>
      <c r="T5" s="4"/>
      <c r="U5" s="4"/>
      <c r="V5" s="4"/>
    </row>
    <row r="6" spans="1:22" ht="19.5" customHeight="1">
      <c r="A6" s="770" t="s">
        <v>323</v>
      </c>
      <c r="B6" s="22">
        <v>1</v>
      </c>
      <c r="C6" s="23" t="s">
        <v>324</v>
      </c>
      <c r="D6" s="24">
        <v>0</v>
      </c>
      <c r="E6" s="827" t="s">
        <v>1003</v>
      </c>
      <c r="F6" s="828"/>
      <c r="G6" s="833"/>
      <c r="H6" s="834"/>
      <c r="I6" s="834"/>
      <c r="J6" s="812"/>
      <c r="K6" s="4"/>
      <c r="L6" s="4"/>
      <c r="M6" s="4"/>
      <c r="N6" s="4"/>
      <c r="O6" s="4"/>
      <c r="P6" s="4"/>
      <c r="Q6" s="4"/>
      <c r="R6" s="4"/>
      <c r="S6" s="4"/>
      <c r="T6" s="4"/>
      <c r="U6" s="4"/>
      <c r="V6" s="4"/>
    </row>
    <row r="7" spans="1:22" ht="19.5" customHeight="1">
      <c r="A7" s="770" t="s">
        <v>1004</v>
      </c>
      <c r="B7" s="22">
        <v>2</v>
      </c>
      <c r="C7" s="23" t="s">
        <v>1005</v>
      </c>
      <c r="D7" s="24">
        <v>0</v>
      </c>
      <c r="E7" s="829"/>
      <c r="F7" s="830"/>
      <c r="G7" s="25">
        <v>1</v>
      </c>
      <c r="H7" s="824" t="s">
        <v>1006</v>
      </c>
      <c r="I7" s="825"/>
      <c r="J7" s="826"/>
      <c r="K7" s="4"/>
      <c r="L7" s="4"/>
      <c r="M7" s="4"/>
      <c r="N7" s="4"/>
      <c r="O7" s="4"/>
      <c r="P7" s="4"/>
      <c r="Q7" s="4"/>
      <c r="R7" s="4"/>
      <c r="S7" s="4"/>
      <c r="T7" s="4"/>
      <c r="U7" s="4"/>
      <c r="V7" s="4"/>
    </row>
    <row r="8" spans="1:22" ht="19.5" customHeight="1">
      <c r="A8" s="26" t="s">
        <v>1007</v>
      </c>
      <c r="B8" s="22">
        <v>1</v>
      </c>
      <c r="C8" s="23" t="s">
        <v>1008</v>
      </c>
      <c r="D8" s="24">
        <v>2</v>
      </c>
      <c r="E8" s="831"/>
      <c r="F8" s="832"/>
      <c r="G8" s="25">
        <v>2</v>
      </c>
      <c r="H8" s="824" t="s">
        <v>1009</v>
      </c>
      <c r="I8" s="825"/>
      <c r="J8" s="826"/>
      <c r="K8" s="4"/>
      <c r="L8" s="4"/>
      <c r="M8" s="4"/>
      <c r="N8" s="4"/>
      <c r="O8" s="4"/>
      <c r="P8" s="4"/>
      <c r="Q8" s="4"/>
      <c r="R8" s="4"/>
      <c r="S8" s="4"/>
      <c r="T8" s="4"/>
      <c r="U8" s="4"/>
      <c r="V8" s="4"/>
    </row>
    <row r="9" spans="1:22" ht="19.5" customHeight="1">
      <c r="A9" s="27" t="s">
        <v>795</v>
      </c>
      <c r="B9" s="803">
        <v>37380</v>
      </c>
      <c r="C9" s="804"/>
      <c r="D9" s="805"/>
      <c r="E9" s="795" t="s">
        <v>910</v>
      </c>
      <c r="F9" s="828"/>
      <c r="G9" s="25">
        <v>3</v>
      </c>
      <c r="H9" s="897" t="s">
        <v>791</v>
      </c>
      <c r="I9" s="897"/>
      <c r="J9" s="898"/>
      <c r="K9" s="4"/>
      <c r="L9" s="4"/>
      <c r="M9" s="4"/>
      <c r="N9" s="4"/>
      <c r="O9" s="4"/>
      <c r="P9" s="4"/>
      <c r="Q9" s="4"/>
      <c r="R9" s="4"/>
      <c r="S9" s="4"/>
      <c r="T9" s="4"/>
      <c r="U9" s="4"/>
      <c r="V9" s="4"/>
    </row>
    <row r="10" spans="1:22" ht="19.5" customHeight="1">
      <c r="A10" s="27" t="s">
        <v>918</v>
      </c>
      <c r="B10" s="793">
        <f>B9</f>
        <v>37380</v>
      </c>
      <c r="C10" s="794"/>
      <c r="D10" s="789"/>
      <c r="E10" s="796"/>
      <c r="F10" s="830"/>
      <c r="G10" s="25">
        <v>4</v>
      </c>
      <c r="H10" s="897" t="s">
        <v>794</v>
      </c>
      <c r="I10" s="897"/>
      <c r="J10" s="898"/>
      <c r="K10" s="4"/>
      <c r="L10" s="4"/>
      <c r="M10" s="4"/>
      <c r="N10" s="4"/>
      <c r="O10" s="4"/>
      <c r="P10" s="4"/>
      <c r="Q10" s="4"/>
      <c r="R10" s="4"/>
      <c r="S10" s="4"/>
      <c r="T10" s="4"/>
      <c r="U10" s="4"/>
      <c r="V10" s="4"/>
    </row>
    <row r="11" spans="1:22" ht="19.5" customHeight="1" thickBot="1">
      <c r="A11" s="12" t="s">
        <v>905</v>
      </c>
      <c r="B11" s="798"/>
      <c r="C11" s="799"/>
      <c r="D11" s="800"/>
      <c r="E11" s="797"/>
      <c r="F11" s="832"/>
      <c r="G11" s="28"/>
      <c r="H11" s="891"/>
      <c r="I11" s="891"/>
      <c r="J11" s="892"/>
      <c r="K11" s="4"/>
      <c r="L11" s="4"/>
      <c r="M11" s="4"/>
      <c r="N11" s="4"/>
      <c r="O11" s="4"/>
      <c r="P11" s="4"/>
      <c r="Q11" s="4"/>
      <c r="R11" s="4"/>
      <c r="S11" s="4"/>
      <c r="T11" s="4"/>
      <c r="U11" s="4"/>
      <c r="V11" s="4"/>
    </row>
    <row r="12" spans="1:22" ht="19.5" customHeight="1">
      <c r="A12" s="27" t="s">
        <v>792</v>
      </c>
      <c r="B12" s="809"/>
      <c r="C12" s="801"/>
      <c r="D12" s="802"/>
      <c r="E12" s="834" t="s">
        <v>919</v>
      </c>
      <c r="F12" s="812"/>
      <c r="G12" s="29" t="s">
        <v>1028</v>
      </c>
      <c r="H12" s="30"/>
      <c r="I12" s="30"/>
      <c r="J12" s="31"/>
      <c r="K12" s="4"/>
      <c r="L12" s="4"/>
      <c r="M12" s="4"/>
      <c r="N12" s="4"/>
      <c r="O12" s="4"/>
      <c r="P12" s="4"/>
      <c r="Q12" s="4"/>
      <c r="R12" s="4"/>
      <c r="S12" s="4"/>
      <c r="T12" s="4"/>
      <c r="U12" s="4"/>
      <c r="V12" s="4"/>
    </row>
    <row r="13" spans="1:22" ht="19.5" customHeight="1">
      <c r="A13" s="27" t="s">
        <v>1027</v>
      </c>
      <c r="B13" s="816">
        <v>37395</v>
      </c>
      <c r="C13" s="817"/>
      <c r="D13" s="818"/>
      <c r="E13" s="814" t="s">
        <v>158</v>
      </c>
      <c r="F13" s="815"/>
      <c r="G13" s="893">
        <f>IF(OR(E3=0,E3&gt;4),"物件種類の入力錯誤です　　(*^_^*)","")</f>
      </c>
      <c r="H13" s="893"/>
      <c r="I13" s="893"/>
      <c r="J13" s="894"/>
      <c r="K13" s="4"/>
      <c r="L13" s="4"/>
      <c r="M13" s="4"/>
      <c r="N13" s="4"/>
      <c r="O13" s="4"/>
      <c r="P13" s="4"/>
      <c r="Q13" s="4"/>
      <c r="R13" s="4"/>
      <c r="S13" s="4"/>
      <c r="T13" s="4"/>
      <c r="U13" s="4"/>
      <c r="V13" s="4"/>
    </row>
    <row r="14" spans="1:22" ht="19.5" customHeight="1" thickBot="1">
      <c r="A14" s="32" t="s">
        <v>54</v>
      </c>
      <c r="B14" s="819" t="s">
        <v>160</v>
      </c>
      <c r="C14" s="820"/>
      <c r="D14" s="821"/>
      <c r="E14" s="822" t="s">
        <v>159</v>
      </c>
      <c r="F14" s="823"/>
      <c r="G14" s="895"/>
      <c r="H14" s="895"/>
      <c r="I14" s="895"/>
      <c r="J14" s="896"/>
      <c r="K14" s="4"/>
      <c r="L14" s="4"/>
      <c r="M14" s="4"/>
      <c r="N14" s="4"/>
      <c r="O14" s="4"/>
      <c r="P14" s="4"/>
      <c r="Q14" s="4"/>
      <c r="R14" s="4"/>
      <c r="S14" s="4"/>
      <c r="T14" s="4"/>
      <c r="U14" s="4"/>
      <c r="V14" s="4"/>
    </row>
    <row r="15" spans="1:22" ht="19.5" customHeight="1">
      <c r="A15" s="33" t="s">
        <v>95</v>
      </c>
      <c r="B15" s="34"/>
      <c r="C15" s="34"/>
      <c r="D15" s="34"/>
      <c r="E15" s="4"/>
      <c r="F15" s="4"/>
      <c r="G15" s="4"/>
      <c r="H15" s="4"/>
      <c r="I15" s="2"/>
      <c r="J15" s="4"/>
      <c r="K15" s="4"/>
      <c r="L15" s="4"/>
      <c r="M15" s="4"/>
      <c r="N15" s="4"/>
      <c r="O15" s="4"/>
      <c r="P15" s="4"/>
      <c r="Q15" s="4"/>
      <c r="R15" s="4"/>
      <c r="S15" s="4"/>
      <c r="T15" s="4"/>
      <c r="U15" s="4"/>
      <c r="V15" s="4"/>
    </row>
    <row r="16" spans="1:22" ht="19.5" customHeight="1">
      <c r="A16" s="33" t="s">
        <v>96</v>
      </c>
      <c r="B16" s="34"/>
      <c r="C16" s="34"/>
      <c r="D16" s="34"/>
      <c r="E16" s="4"/>
      <c r="F16" s="4"/>
      <c r="G16" s="4"/>
      <c r="H16" s="4"/>
      <c r="I16" s="2"/>
      <c r="J16" s="4"/>
      <c r="K16" s="4"/>
      <c r="L16" s="4"/>
      <c r="M16" s="4"/>
      <c r="N16" s="4"/>
      <c r="O16" s="4"/>
      <c r="P16" s="4"/>
      <c r="Q16" s="4"/>
      <c r="R16" s="4"/>
      <c r="S16" s="4"/>
      <c r="T16" s="4"/>
      <c r="U16" s="4"/>
      <c r="V16" s="4"/>
    </row>
    <row r="17" spans="1:22" ht="19.5" customHeight="1">
      <c r="A17" s="1" t="s">
        <v>97</v>
      </c>
      <c r="B17" s="35"/>
      <c r="C17" s="35"/>
      <c r="D17" s="4"/>
      <c r="E17" s="36"/>
      <c r="F17" s="37"/>
      <c r="G17" s="4"/>
      <c r="H17" s="4"/>
      <c r="I17" s="4"/>
      <c r="J17" s="4"/>
      <c r="K17" s="4"/>
      <c r="L17" s="4"/>
      <c r="M17" s="4"/>
      <c r="N17" s="4"/>
      <c r="O17" s="4"/>
      <c r="P17" s="4"/>
      <c r="Q17" s="4"/>
      <c r="R17" s="4"/>
      <c r="S17" s="4"/>
      <c r="T17" s="4"/>
      <c r="U17" s="4"/>
      <c r="V17" s="4"/>
    </row>
    <row r="18" spans="1:22" ht="19.5" customHeight="1">
      <c r="A18" s="1" t="s">
        <v>98</v>
      </c>
      <c r="B18" s="35"/>
      <c r="C18" s="35"/>
      <c r="D18" s="4"/>
      <c r="E18" s="36"/>
      <c r="F18" s="37"/>
      <c r="G18" s="4"/>
      <c r="H18" s="4"/>
      <c r="I18" s="4"/>
      <c r="J18" s="4"/>
      <c r="K18" s="4"/>
      <c r="L18" s="4"/>
      <c r="M18" s="4"/>
      <c r="N18" s="4"/>
      <c r="O18" s="4"/>
      <c r="P18" s="4"/>
      <c r="Q18" s="4"/>
      <c r="R18" s="4"/>
      <c r="S18" s="4"/>
      <c r="T18" s="4"/>
      <c r="U18" s="4"/>
      <c r="V18" s="4"/>
    </row>
    <row r="19" spans="1:22" ht="19.5" customHeight="1">
      <c r="A19" s="1" t="s">
        <v>99</v>
      </c>
      <c r="B19" s="35"/>
      <c r="C19" s="35"/>
      <c r="D19" s="4"/>
      <c r="E19" s="36"/>
      <c r="F19" s="37"/>
      <c r="G19" s="4"/>
      <c r="H19" s="4"/>
      <c r="I19" s="4"/>
      <c r="J19" s="4"/>
      <c r="K19" s="4"/>
      <c r="L19" s="4"/>
      <c r="M19" s="4"/>
      <c r="N19" s="4"/>
      <c r="O19" s="4"/>
      <c r="P19" s="4"/>
      <c r="Q19" s="4"/>
      <c r="R19" s="4"/>
      <c r="S19" s="4"/>
      <c r="T19" s="4"/>
      <c r="U19" s="4"/>
      <c r="V19" s="4"/>
    </row>
    <row r="20" spans="1:22" ht="19.5" customHeight="1">
      <c r="A20" s="4" t="s">
        <v>955</v>
      </c>
      <c r="B20" s="4"/>
      <c r="C20" s="4"/>
      <c r="D20" s="4"/>
      <c r="E20" s="4"/>
      <c r="F20" s="4"/>
      <c r="G20" s="4"/>
      <c r="H20" s="4"/>
      <c r="I20" s="4"/>
      <c r="J20" s="4"/>
      <c r="K20" s="4"/>
      <c r="L20" s="4"/>
      <c r="M20" s="4"/>
      <c r="N20" s="4"/>
      <c r="O20" s="4"/>
      <c r="P20" s="4"/>
      <c r="Q20" s="4"/>
      <c r="R20" s="4"/>
      <c r="S20" s="4"/>
      <c r="T20" s="4"/>
      <c r="U20" s="4"/>
      <c r="V20" s="4"/>
    </row>
    <row r="21" spans="1:22" ht="19.5" customHeight="1">
      <c r="A21" s="38" t="s">
        <v>1025</v>
      </c>
      <c r="B21" s="39">
        <v>1</v>
      </c>
      <c r="C21" s="40" t="str">
        <f>VLOOKUP(B21,J22:K24,2)</f>
        <v>地価公示</v>
      </c>
      <c r="D21" s="41" t="s">
        <v>1018</v>
      </c>
      <c r="E21" s="42"/>
      <c r="F21" s="42"/>
      <c r="G21" s="42"/>
      <c r="H21" s="43"/>
      <c r="I21" s="4"/>
      <c r="J21" s="4"/>
      <c r="K21" s="4"/>
      <c r="L21" s="4"/>
      <c r="M21" s="4"/>
      <c r="N21" s="4"/>
      <c r="O21" s="4"/>
      <c r="P21" s="4"/>
      <c r="Q21" s="4"/>
      <c r="R21" s="4"/>
      <c r="S21" s="4"/>
      <c r="T21" s="4"/>
      <c r="U21" s="4"/>
      <c r="V21" s="4"/>
    </row>
    <row r="22" spans="1:22" ht="19.5" customHeight="1">
      <c r="A22" s="44" t="s">
        <v>956</v>
      </c>
      <c r="B22" s="45" t="s">
        <v>959</v>
      </c>
      <c r="C22" s="46"/>
      <c r="D22" s="47"/>
      <c r="E22" s="44" t="s">
        <v>960</v>
      </c>
      <c r="F22" s="44" t="s">
        <v>961</v>
      </c>
      <c r="G22" s="44" t="s">
        <v>962</v>
      </c>
      <c r="H22" s="44" t="s">
        <v>963</v>
      </c>
      <c r="I22" s="4"/>
      <c r="J22" s="44">
        <v>1</v>
      </c>
      <c r="K22" s="48" t="s">
        <v>1019</v>
      </c>
      <c r="L22" s="4"/>
      <c r="M22" s="4"/>
      <c r="N22" s="4"/>
      <c r="O22" s="4"/>
      <c r="P22" s="4"/>
      <c r="Q22" s="4"/>
      <c r="R22" s="4"/>
      <c r="S22" s="4"/>
      <c r="T22" s="4"/>
      <c r="U22" s="4"/>
      <c r="V22" s="4"/>
    </row>
    <row r="23" spans="1:22" ht="19.5" customHeight="1">
      <c r="A23" s="49" t="s">
        <v>838</v>
      </c>
      <c r="B23" s="790" t="s">
        <v>839</v>
      </c>
      <c r="C23" s="791"/>
      <c r="D23" s="792"/>
      <c r="E23" s="50">
        <v>250000</v>
      </c>
      <c r="F23" s="51">
        <v>160</v>
      </c>
      <c r="G23" s="52" t="s">
        <v>840</v>
      </c>
      <c r="H23" s="53">
        <v>37256</v>
      </c>
      <c r="I23" s="4"/>
      <c r="J23" s="44">
        <v>2</v>
      </c>
      <c r="K23" s="48" t="s">
        <v>1020</v>
      </c>
      <c r="L23" s="4"/>
      <c r="M23" s="4"/>
      <c r="N23" s="4"/>
      <c r="O23" s="4"/>
      <c r="P23" s="4"/>
      <c r="Q23" s="4"/>
      <c r="R23" s="4"/>
      <c r="S23" s="4"/>
      <c r="T23" s="4"/>
      <c r="U23" s="4"/>
      <c r="V23" s="4"/>
    </row>
    <row r="24" spans="1:22" ht="19.5" customHeight="1">
      <c r="A24" s="54" t="s">
        <v>841</v>
      </c>
      <c r="B24" s="790" t="s">
        <v>842</v>
      </c>
      <c r="C24" s="791"/>
      <c r="D24" s="792"/>
      <c r="E24" s="55" t="s">
        <v>843</v>
      </c>
      <c r="F24" s="55" t="s">
        <v>73</v>
      </c>
      <c r="G24" s="55" t="s">
        <v>845</v>
      </c>
      <c r="H24" s="55" t="s">
        <v>846</v>
      </c>
      <c r="I24" s="4"/>
      <c r="J24" s="44">
        <v>3</v>
      </c>
      <c r="K24" s="48" t="s">
        <v>1021</v>
      </c>
      <c r="L24" s="4"/>
      <c r="M24" s="4"/>
      <c r="N24" s="4"/>
      <c r="O24" s="4"/>
      <c r="P24" s="4"/>
      <c r="Q24" s="4"/>
      <c r="R24" s="4"/>
      <c r="S24" s="4"/>
      <c r="T24" s="4"/>
      <c r="U24" s="4"/>
      <c r="V24" s="4"/>
    </row>
    <row r="25" spans="1:22" ht="19.5" customHeight="1">
      <c r="A25" s="54" t="s">
        <v>847</v>
      </c>
      <c r="B25" s="790" t="s">
        <v>848</v>
      </c>
      <c r="C25" s="791"/>
      <c r="D25" s="792"/>
      <c r="E25" s="56" t="s">
        <v>464</v>
      </c>
      <c r="F25" s="57" t="s">
        <v>726</v>
      </c>
      <c r="G25" s="57" t="s">
        <v>727</v>
      </c>
      <c r="H25" s="57" t="s">
        <v>775</v>
      </c>
      <c r="I25" s="4"/>
      <c r="J25" s="4"/>
      <c r="K25" s="4"/>
      <c r="L25" s="4"/>
      <c r="M25" s="4"/>
      <c r="N25" s="4"/>
      <c r="O25" s="4"/>
      <c r="P25" s="4"/>
      <c r="Q25" s="4"/>
      <c r="R25" s="4"/>
      <c r="S25" s="4"/>
      <c r="T25" s="4"/>
      <c r="U25" s="4"/>
      <c r="V25" s="4"/>
    </row>
    <row r="26" spans="1:22" ht="19.5" customHeight="1">
      <c r="A26" s="54" t="s">
        <v>728</v>
      </c>
      <c r="B26" s="790" t="s">
        <v>729</v>
      </c>
      <c r="C26" s="791"/>
      <c r="D26" s="792"/>
      <c r="E26" s="58" t="s">
        <v>849</v>
      </c>
      <c r="F26" s="59">
        <v>60</v>
      </c>
      <c r="G26" s="58" t="s">
        <v>850</v>
      </c>
      <c r="H26" s="59">
        <v>200</v>
      </c>
      <c r="I26" s="4"/>
      <c r="J26" s="4"/>
      <c r="K26" s="4"/>
      <c r="L26" s="4"/>
      <c r="M26" s="4"/>
      <c r="N26" s="4"/>
      <c r="O26" s="4"/>
      <c r="P26" s="4"/>
      <c r="Q26" s="4"/>
      <c r="R26" s="4"/>
      <c r="S26" s="4"/>
      <c r="T26" s="4"/>
      <c r="U26" s="4"/>
      <c r="V26" s="4"/>
    </row>
    <row r="27" spans="1:22" ht="19.5" customHeight="1">
      <c r="A27" s="4" t="s">
        <v>479</v>
      </c>
      <c r="B27" s="4"/>
      <c r="C27" s="4"/>
      <c r="D27" s="4"/>
      <c r="E27" s="4"/>
      <c r="F27" s="4"/>
      <c r="G27" s="4"/>
      <c r="H27" s="4"/>
      <c r="I27" s="4"/>
      <c r="J27" s="4"/>
      <c r="K27" s="4"/>
      <c r="L27" s="4"/>
      <c r="M27" s="4"/>
      <c r="N27" s="4"/>
      <c r="O27" s="4"/>
      <c r="P27" s="4"/>
      <c r="Q27" s="4"/>
      <c r="R27" s="4"/>
      <c r="S27" s="4"/>
      <c r="T27" s="4"/>
      <c r="U27" s="4"/>
      <c r="V27" s="4"/>
    </row>
    <row r="28" spans="1:22" ht="19.5" customHeight="1" thickBot="1">
      <c r="A28" s="4" t="s">
        <v>965</v>
      </c>
      <c r="B28" s="4"/>
      <c r="C28" s="4"/>
      <c r="D28" s="4"/>
      <c r="E28" s="4"/>
      <c r="F28" s="4"/>
      <c r="G28" s="4" t="s">
        <v>966</v>
      </c>
      <c r="H28" s="4"/>
      <c r="I28" s="4"/>
      <c r="J28" s="4"/>
      <c r="K28" s="4"/>
      <c r="L28" s="4"/>
      <c r="M28" s="4"/>
      <c r="N28" s="4"/>
      <c r="O28" s="4"/>
      <c r="P28" s="4"/>
      <c r="Q28" s="4"/>
      <c r="R28" s="4"/>
      <c r="S28" s="4"/>
      <c r="T28" s="4"/>
      <c r="U28" s="4"/>
      <c r="V28" s="4"/>
    </row>
    <row r="29" spans="1:22" ht="19.5" customHeight="1" thickBot="1">
      <c r="A29" s="60" t="s">
        <v>967</v>
      </c>
      <c r="B29" s="860" t="s">
        <v>100</v>
      </c>
      <c r="C29" s="860"/>
      <c r="D29" s="61" t="s">
        <v>968</v>
      </c>
      <c r="E29" s="62" t="str">
        <f>F128</f>
        <v>1～2</v>
      </c>
      <c r="F29" s="61" t="s">
        <v>59</v>
      </c>
      <c r="G29" s="63">
        <f>F126</f>
        <v>1</v>
      </c>
      <c r="H29" s="61" t="s">
        <v>60</v>
      </c>
      <c r="I29" s="64">
        <f>F127</f>
        <v>2</v>
      </c>
      <c r="J29" s="4"/>
      <c r="K29" s="4"/>
      <c r="L29" s="4"/>
      <c r="M29" s="4"/>
      <c r="N29" s="4"/>
      <c r="O29" s="4"/>
      <c r="P29" s="4"/>
      <c r="Q29" s="4"/>
      <c r="R29" s="4"/>
      <c r="S29" s="4"/>
      <c r="T29" s="4"/>
      <c r="U29" s="4"/>
      <c r="V29" s="4"/>
    </row>
    <row r="30" spans="1:22" ht="19.5" customHeight="1" thickBot="1">
      <c r="A30" s="65" t="s">
        <v>47</v>
      </c>
      <c r="B30" s="66" t="s">
        <v>877</v>
      </c>
      <c r="C30" s="66"/>
      <c r="D30" s="4"/>
      <c r="E30" s="4"/>
      <c r="F30" s="4"/>
      <c r="G30" s="4"/>
      <c r="H30" s="4"/>
      <c r="I30" s="4"/>
      <c r="J30" s="4"/>
      <c r="K30" s="4"/>
      <c r="L30" s="4"/>
      <c r="M30" s="4"/>
      <c r="N30" s="4"/>
      <c r="O30" s="4"/>
      <c r="P30" s="4"/>
      <c r="Q30" s="4"/>
      <c r="R30" s="4"/>
      <c r="S30" s="4"/>
      <c r="T30" s="4"/>
      <c r="U30" s="4"/>
      <c r="V30" s="4"/>
    </row>
    <row r="31" spans="1:22" s="70" customFormat="1" ht="19.5" customHeight="1">
      <c r="A31" s="67" t="s">
        <v>878</v>
      </c>
      <c r="B31" s="68" t="s">
        <v>255</v>
      </c>
      <c r="C31" s="68"/>
      <c r="D31" s="68"/>
      <c r="E31" s="68"/>
      <c r="F31" s="68"/>
      <c r="G31" s="68"/>
      <c r="H31" s="68"/>
      <c r="I31" s="68"/>
      <c r="J31" s="68"/>
      <c r="K31" s="68"/>
      <c r="L31" s="69" t="s">
        <v>966</v>
      </c>
      <c r="M31" s="4"/>
      <c r="N31" s="4"/>
      <c r="O31" s="4"/>
      <c r="P31" s="4"/>
      <c r="Q31" s="4"/>
      <c r="R31" s="4"/>
      <c r="S31" s="4"/>
      <c r="T31" s="4"/>
      <c r="U31" s="4"/>
      <c r="V31" s="4"/>
    </row>
    <row r="32" spans="1:22" ht="19.5" customHeight="1">
      <c r="A32" s="71" t="s">
        <v>959</v>
      </c>
      <c r="B32" s="72" t="s">
        <v>879</v>
      </c>
      <c r="C32" s="72"/>
      <c r="D32" s="72"/>
      <c r="E32" s="72"/>
      <c r="F32" s="72"/>
      <c r="G32" s="72"/>
      <c r="H32" s="72"/>
      <c r="I32" s="72"/>
      <c r="J32" s="72"/>
      <c r="K32" s="72"/>
      <c r="L32" s="4" t="s">
        <v>880</v>
      </c>
      <c r="M32" s="4"/>
      <c r="N32" s="4"/>
      <c r="O32" s="4"/>
      <c r="P32" s="4"/>
      <c r="Q32" s="4"/>
      <c r="R32" s="4"/>
      <c r="S32" s="4"/>
      <c r="T32" s="4"/>
      <c r="U32" s="4"/>
      <c r="V32" s="4"/>
    </row>
    <row r="33" spans="1:22" ht="19.5" customHeight="1">
      <c r="A33" s="71" t="s">
        <v>881</v>
      </c>
      <c r="B33" s="72" t="s">
        <v>882</v>
      </c>
      <c r="C33" s="72"/>
      <c r="D33" s="72"/>
      <c r="E33" s="72"/>
      <c r="F33" s="72"/>
      <c r="G33" s="72"/>
      <c r="H33" s="72"/>
      <c r="I33" s="72"/>
      <c r="J33" s="72"/>
      <c r="K33" s="72"/>
      <c r="L33" s="4" t="s">
        <v>883</v>
      </c>
      <c r="M33" s="4"/>
      <c r="N33" s="4"/>
      <c r="O33" s="4"/>
      <c r="P33" s="4"/>
      <c r="Q33" s="4"/>
      <c r="R33" s="4"/>
      <c r="S33" s="4"/>
      <c r="T33" s="4"/>
      <c r="U33" s="4"/>
      <c r="V33" s="4"/>
    </row>
    <row r="34" spans="1:22" ht="19.5" customHeight="1">
      <c r="A34" s="71" t="s">
        <v>962</v>
      </c>
      <c r="B34" s="72" t="s">
        <v>840</v>
      </c>
      <c r="C34" s="72"/>
      <c r="D34" s="72"/>
      <c r="E34" s="72"/>
      <c r="F34" s="72"/>
      <c r="G34" s="72"/>
      <c r="H34" s="72"/>
      <c r="I34" s="72"/>
      <c r="J34" s="72"/>
      <c r="K34" s="72"/>
      <c r="L34" s="4" t="s">
        <v>6</v>
      </c>
      <c r="M34" s="4"/>
      <c r="N34" s="4"/>
      <c r="O34" s="4"/>
      <c r="P34" s="4"/>
      <c r="Q34" s="4"/>
      <c r="R34" s="4"/>
      <c r="S34" s="4"/>
      <c r="T34" s="4"/>
      <c r="U34" s="4"/>
      <c r="V34" s="4"/>
    </row>
    <row r="35" spans="1:22" ht="19.5" customHeight="1">
      <c r="A35" s="71" t="s">
        <v>961</v>
      </c>
      <c r="B35" s="73">
        <v>100</v>
      </c>
      <c r="C35" s="73"/>
      <c r="D35" s="73"/>
      <c r="E35" s="73"/>
      <c r="F35" s="73"/>
      <c r="G35" s="73"/>
      <c r="H35" s="73"/>
      <c r="I35" s="73"/>
      <c r="J35" s="73"/>
      <c r="K35" s="73"/>
      <c r="L35" s="4" t="s">
        <v>5</v>
      </c>
      <c r="M35" s="4"/>
      <c r="N35" s="4"/>
      <c r="O35" s="4"/>
      <c r="P35" s="4"/>
      <c r="Q35" s="4"/>
      <c r="R35" s="4"/>
      <c r="S35" s="4"/>
      <c r="T35" s="4"/>
      <c r="U35" s="4"/>
      <c r="V35" s="4"/>
    </row>
    <row r="36" spans="1:22" ht="19.5" customHeight="1">
      <c r="A36" s="71" t="s">
        <v>73</v>
      </c>
      <c r="B36" s="72" t="s">
        <v>487</v>
      </c>
      <c r="C36" s="72"/>
      <c r="D36" s="72"/>
      <c r="E36" s="72"/>
      <c r="F36" s="72"/>
      <c r="G36" s="72"/>
      <c r="H36" s="72"/>
      <c r="I36" s="72"/>
      <c r="J36" s="72"/>
      <c r="K36" s="72"/>
      <c r="L36" s="4" t="s">
        <v>470</v>
      </c>
      <c r="M36" s="4"/>
      <c r="N36" s="4"/>
      <c r="O36" s="4"/>
      <c r="P36" s="4"/>
      <c r="Q36" s="4"/>
      <c r="R36" s="4"/>
      <c r="S36" s="4"/>
      <c r="T36" s="4"/>
      <c r="U36" s="4"/>
      <c r="V36" s="4"/>
    </row>
    <row r="37" spans="1:22" ht="19.5" customHeight="1" thickBot="1">
      <c r="A37" s="74" t="s">
        <v>769</v>
      </c>
      <c r="B37" s="75">
        <v>0</v>
      </c>
      <c r="C37" s="75">
        <v>0</v>
      </c>
      <c r="D37" s="75">
        <v>0</v>
      </c>
      <c r="E37" s="75">
        <v>0</v>
      </c>
      <c r="F37" s="75">
        <v>0</v>
      </c>
      <c r="G37" s="75">
        <v>0</v>
      </c>
      <c r="H37" s="75">
        <v>0</v>
      </c>
      <c r="I37" s="75">
        <v>0</v>
      </c>
      <c r="J37" s="75">
        <v>0</v>
      </c>
      <c r="K37" s="75">
        <v>0</v>
      </c>
      <c r="L37" s="4" t="s">
        <v>770</v>
      </c>
      <c r="M37" s="4"/>
      <c r="N37" s="4"/>
      <c r="O37" s="4"/>
      <c r="P37" s="4"/>
      <c r="Q37" s="4"/>
      <c r="R37" s="4"/>
      <c r="S37" s="4"/>
      <c r="T37" s="4"/>
      <c r="U37" s="4"/>
      <c r="V37" s="4"/>
    </row>
    <row r="38" spans="1:22" ht="19.5" customHeight="1">
      <c r="A38" s="76" t="s">
        <v>37</v>
      </c>
      <c r="B38" s="77"/>
      <c r="C38" s="77"/>
      <c r="D38" s="77"/>
      <c r="E38" s="77"/>
      <c r="F38" s="77"/>
      <c r="G38" s="77"/>
      <c r="H38" s="77"/>
      <c r="I38" s="77"/>
      <c r="J38" s="77"/>
      <c r="K38" s="77"/>
      <c r="L38" s="4"/>
      <c r="M38" s="4"/>
      <c r="N38" s="4"/>
      <c r="O38" s="4"/>
      <c r="P38" s="4"/>
      <c r="Q38" s="4"/>
      <c r="R38" s="4"/>
      <c r="S38" s="4"/>
      <c r="T38" s="4"/>
      <c r="U38" s="4"/>
      <c r="V38" s="4"/>
    </row>
    <row r="39" spans="1:22" ht="19.5" customHeight="1">
      <c r="A39" s="771" t="s">
        <v>771</v>
      </c>
      <c r="B39" s="78">
        <v>1</v>
      </c>
      <c r="C39" s="78">
        <v>1</v>
      </c>
      <c r="D39" s="78">
        <v>1</v>
      </c>
      <c r="E39" s="78">
        <v>1</v>
      </c>
      <c r="F39" s="78">
        <v>1</v>
      </c>
      <c r="G39" s="78">
        <v>1</v>
      </c>
      <c r="H39" s="78">
        <v>1</v>
      </c>
      <c r="I39" s="78">
        <v>1</v>
      </c>
      <c r="J39" s="78">
        <v>1</v>
      </c>
      <c r="K39" s="78">
        <v>1</v>
      </c>
      <c r="L39" s="4"/>
      <c r="M39" s="4"/>
      <c r="N39" s="4"/>
      <c r="O39" s="4"/>
      <c r="P39" s="4"/>
      <c r="Q39" s="4"/>
      <c r="R39" s="4"/>
      <c r="S39" s="4"/>
      <c r="T39" s="4"/>
      <c r="U39" s="4"/>
      <c r="V39" s="4"/>
    </row>
    <row r="40" spans="1:22" ht="19.5" customHeight="1" thickBot="1">
      <c r="A40" s="772" t="s">
        <v>772</v>
      </c>
      <c r="B40" s="79">
        <v>1</v>
      </c>
      <c r="C40" s="79">
        <v>1</v>
      </c>
      <c r="D40" s="79">
        <v>1</v>
      </c>
      <c r="E40" s="79">
        <v>1</v>
      </c>
      <c r="F40" s="79">
        <v>1</v>
      </c>
      <c r="G40" s="79">
        <v>1</v>
      </c>
      <c r="H40" s="79">
        <v>1</v>
      </c>
      <c r="I40" s="79">
        <v>1</v>
      </c>
      <c r="J40" s="79">
        <v>1</v>
      </c>
      <c r="K40" s="79">
        <v>1</v>
      </c>
      <c r="L40" s="4"/>
      <c r="M40" s="4"/>
      <c r="N40" s="4"/>
      <c r="O40" s="4"/>
      <c r="P40" s="4"/>
      <c r="Q40" s="4"/>
      <c r="R40" s="4"/>
      <c r="S40" s="4"/>
      <c r="T40" s="4"/>
      <c r="U40" s="4"/>
      <c r="V40" s="4"/>
    </row>
    <row r="41" spans="1:22" ht="19.5" customHeight="1">
      <c r="A41" s="80" t="s">
        <v>101</v>
      </c>
      <c r="B41" s="4"/>
      <c r="C41" s="66"/>
      <c r="D41" s="66"/>
      <c r="E41" s="81"/>
      <c r="F41" s="4"/>
      <c r="G41" s="4"/>
      <c r="H41" s="838">
        <f>A64</f>
      </c>
      <c r="I41" s="838"/>
      <c r="J41" s="838"/>
      <c r="K41" s="4"/>
      <c r="L41" s="4"/>
      <c r="M41" s="4"/>
      <c r="N41" s="4"/>
      <c r="O41" s="4"/>
      <c r="P41" s="4"/>
      <c r="Q41" s="4"/>
      <c r="R41" s="4"/>
      <c r="S41" s="4"/>
      <c r="T41" s="4"/>
      <c r="U41" s="4"/>
      <c r="V41" s="4"/>
    </row>
    <row r="42" spans="1:22" ht="19.5" customHeight="1" thickBot="1">
      <c r="A42" s="66" t="s">
        <v>773</v>
      </c>
      <c r="B42" s="66" t="s">
        <v>774</v>
      </c>
      <c r="C42" s="66"/>
      <c r="D42" s="4"/>
      <c r="E42" s="66"/>
      <c r="F42" s="4"/>
      <c r="G42" s="4"/>
      <c r="H42" s="839"/>
      <c r="I42" s="839"/>
      <c r="J42" s="839"/>
      <c r="K42" s="4"/>
      <c r="L42" s="4"/>
      <c r="M42" s="4"/>
      <c r="N42" s="4"/>
      <c r="O42" s="4"/>
      <c r="P42" s="4"/>
      <c r="Q42" s="4"/>
      <c r="R42" s="4"/>
      <c r="S42" s="4"/>
      <c r="T42" s="4"/>
      <c r="U42" s="4"/>
      <c r="V42" s="4"/>
    </row>
    <row r="43" spans="1:12" s="70" customFormat="1" ht="19.5" customHeight="1">
      <c r="A43" s="82" t="s">
        <v>878</v>
      </c>
      <c r="B43" s="68" t="s">
        <v>256</v>
      </c>
      <c r="C43" s="68"/>
      <c r="D43" s="68"/>
      <c r="E43" s="68"/>
      <c r="F43" s="68"/>
      <c r="G43" s="68"/>
      <c r="H43" s="68"/>
      <c r="I43" s="68"/>
      <c r="J43" s="68"/>
      <c r="K43" s="68"/>
      <c r="L43" s="69" t="s">
        <v>966</v>
      </c>
    </row>
    <row r="44" spans="1:12" s="70" customFormat="1" ht="19.5" customHeight="1">
      <c r="A44" s="83" t="s">
        <v>220</v>
      </c>
      <c r="B44" s="84" t="s">
        <v>488</v>
      </c>
      <c r="C44" s="84"/>
      <c r="D44" s="84"/>
      <c r="E44" s="84"/>
      <c r="F44" s="84"/>
      <c r="G44" s="84"/>
      <c r="H44" s="84"/>
      <c r="I44" s="84"/>
      <c r="J44" s="84"/>
      <c r="K44" s="84"/>
      <c r="L44" s="69" t="s">
        <v>55</v>
      </c>
    </row>
    <row r="45" spans="1:12" ht="19.5" customHeight="1">
      <c r="A45" s="85" t="s">
        <v>959</v>
      </c>
      <c r="B45" s="72" t="s">
        <v>674</v>
      </c>
      <c r="C45" s="72"/>
      <c r="D45" s="72"/>
      <c r="E45" s="72"/>
      <c r="F45" s="72"/>
      <c r="G45" s="72"/>
      <c r="H45" s="72"/>
      <c r="I45" s="72"/>
      <c r="J45" s="72"/>
      <c r="K45" s="72"/>
      <c r="L45" s="4" t="s">
        <v>880</v>
      </c>
    </row>
    <row r="46" spans="1:12" ht="19.5" customHeight="1">
      <c r="A46" s="85" t="s">
        <v>887</v>
      </c>
      <c r="B46" s="72" t="s">
        <v>888</v>
      </c>
      <c r="C46" s="72"/>
      <c r="D46" s="72"/>
      <c r="E46" s="72"/>
      <c r="F46" s="72"/>
      <c r="G46" s="72"/>
      <c r="H46" s="72"/>
      <c r="I46" s="72"/>
      <c r="J46" s="72"/>
      <c r="K46" s="72"/>
      <c r="L46" s="4" t="s">
        <v>883</v>
      </c>
    </row>
    <row r="47" spans="1:12" ht="19.5" customHeight="1">
      <c r="A47" s="85" t="s">
        <v>889</v>
      </c>
      <c r="B47" s="72" t="s">
        <v>890</v>
      </c>
      <c r="C47" s="72"/>
      <c r="D47" s="72"/>
      <c r="E47" s="72"/>
      <c r="F47" s="72"/>
      <c r="G47" s="72"/>
      <c r="H47" s="72"/>
      <c r="I47" s="72"/>
      <c r="J47" s="72"/>
      <c r="K47" s="72"/>
      <c r="L47" s="4" t="s">
        <v>891</v>
      </c>
    </row>
    <row r="48" spans="1:12" ht="19.5" customHeight="1">
      <c r="A48" s="85" t="s">
        <v>892</v>
      </c>
      <c r="B48" s="72" t="s">
        <v>893</v>
      </c>
      <c r="C48" s="72"/>
      <c r="D48" s="72"/>
      <c r="E48" s="72"/>
      <c r="F48" s="72"/>
      <c r="G48" s="72"/>
      <c r="H48" s="72"/>
      <c r="I48" s="72"/>
      <c r="J48" s="72"/>
      <c r="K48" s="72"/>
      <c r="L48" s="4" t="s">
        <v>894</v>
      </c>
    </row>
    <row r="49" spans="1:12" ht="19.5" customHeight="1">
      <c r="A49" s="85" t="s">
        <v>895</v>
      </c>
      <c r="B49" s="72" t="s">
        <v>489</v>
      </c>
      <c r="C49" s="72"/>
      <c r="D49" s="72"/>
      <c r="E49" s="72"/>
      <c r="F49" s="72"/>
      <c r="G49" s="72"/>
      <c r="H49" s="72"/>
      <c r="I49" s="72"/>
      <c r="J49" s="72"/>
      <c r="K49" s="72"/>
      <c r="L49" s="4" t="s">
        <v>896</v>
      </c>
    </row>
    <row r="50" spans="1:12" ht="19.5" customHeight="1">
      <c r="A50" s="85" t="s">
        <v>897</v>
      </c>
      <c r="B50" s="86">
        <v>100</v>
      </c>
      <c r="C50" s="86"/>
      <c r="D50" s="86"/>
      <c r="E50" s="86"/>
      <c r="F50" s="86"/>
      <c r="G50" s="86"/>
      <c r="H50" s="86"/>
      <c r="I50" s="86"/>
      <c r="J50" s="86"/>
      <c r="K50" s="86"/>
      <c r="L50" s="4" t="s">
        <v>898</v>
      </c>
    </row>
    <row r="51" spans="1:12" ht="19.5" customHeight="1">
      <c r="A51" s="85" t="s">
        <v>899</v>
      </c>
      <c r="B51" s="86">
        <v>0</v>
      </c>
      <c r="C51" s="86"/>
      <c r="D51" s="86"/>
      <c r="E51" s="86"/>
      <c r="F51" s="86"/>
      <c r="G51" s="86"/>
      <c r="H51" s="86"/>
      <c r="I51" s="86"/>
      <c r="J51" s="86"/>
      <c r="K51" s="86"/>
      <c r="L51" s="4" t="s">
        <v>900</v>
      </c>
    </row>
    <row r="52" spans="1:12" ht="19.5" customHeight="1">
      <c r="A52" s="85" t="s">
        <v>901</v>
      </c>
      <c r="B52" s="86">
        <v>0</v>
      </c>
      <c r="C52" s="86"/>
      <c r="D52" s="86"/>
      <c r="E52" s="86"/>
      <c r="F52" s="86"/>
      <c r="G52" s="86"/>
      <c r="H52" s="86"/>
      <c r="I52" s="86"/>
      <c r="J52" s="86"/>
      <c r="K52" s="86"/>
      <c r="L52" s="4" t="s">
        <v>900</v>
      </c>
    </row>
    <row r="53" spans="1:12" ht="19.5" customHeight="1">
      <c r="A53" s="85" t="s">
        <v>902</v>
      </c>
      <c r="B53" s="87">
        <v>0</v>
      </c>
      <c r="C53" s="87"/>
      <c r="D53" s="87"/>
      <c r="E53" s="87"/>
      <c r="F53" s="87"/>
      <c r="G53" s="87"/>
      <c r="H53" s="87"/>
      <c r="I53" s="87"/>
      <c r="J53" s="87"/>
      <c r="K53" s="87"/>
      <c r="L53" s="4" t="s">
        <v>903</v>
      </c>
    </row>
    <row r="54" spans="1:12" ht="19.5" customHeight="1">
      <c r="A54" s="85" t="s">
        <v>904</v>
      </c>
      <c r="B54" s="87">
        <v>0</v>
      </c>
      <c r="C54" s="87"/>
      <c r="D54" s="87"/>
      <c r="E54" s="87"/>
      <c r="F54" s="87"/>
      <c r="G54" s="87"/>
      <c r="H54" s="87"/>
      <c r="I54" s="87"/>
      <c r="J54" s="87"/>
      <c r="K54" s="87"/>
      <c r="L54" s="4" t="s">
        <v>903</v>
      </c>
    </row>
    <row r="55" spans="1:12" ht="19.5" customHeight="1">
      <c r="A55" s="88" t="s">
        <v>780</v>
      </c>
      <c r="B55" s="87">
        <v>0</v>
      </c>
      <c r="C55" s="87"/>
      <c r="D55" s="87"/>
      <c r="E55" s="87"/>
      <c r="F55" s="87"/>
      <c r="G55" s="87"/>
      <c r="H55" s="87"/>
      <c r="I55" s="87"/>
      <c r="J55" s="87"/>
      <c r="K55" s="87"/>
      <c r="L55" s="66" t="s">
        <v>903</v>
      </c>
    </row>
    <row r="56" spans="1:12" ht="19.5" customHeight="1">
      <c r="A56" s="89" t="s">
        <v>73</v>
      </c>
      <c r="B56" s="90" t="s">
        <v>487</v>
      </c>
      <c r="C56" s="90"/>
      <c r="D56" s="90"/>
      <c r="E56" s="90"/>
      <c r="F56" s="90"/>
      <c r="G56" s="90"/>
      <c r="H56" s="90"/>
      <c r="I56" s="90"/>
      <c r="J56" s="90"/>
      <c r="K56" s="90"/>
      <c r="L56" s="4" t="s">
        <v>470</v>
      </c>
    </row>
    <row r="57" spans="1:12" ht="19.5" customHeight="1" thickBot="1">
      <c r="A57" s="91" t="s">
        <v>769</v>
      </c>
      <c r="B57" s="92">
        <v>0</v>
      </c>
      <c r="C57" s="93">
        <v>0</v>
      </c>
      <c r="D57" s="93">
        <v>0</v>
      </c>
      <c r="E57" s="93">
        <v>0</v>
      </c>
      <c r="F57" s="93">
        <v>0</v>
      </c>
      <c r="G57" s="93">
        <v>0</v>
      </c>
      <c r="H57" s="93">
        <v>0</v>
      </c>
      <c r="I57" s="93">
        <v>0</v>
      </c>
      <c r="J57" s="93">
        <v>0</v>
      </c>
      <c r="K57" s="93">
        <v>0</v>
      </c>
      <c r="L57" s="66" t="s">
        <v>770</v>
      </c>
    </row>
    <row r="58" spans="1:12" ht="19.5" customHeight="1">
      <c r="A58" s="94" t="s">
        <v>37</v>
      </c>
      <c r="B58" s="95"/>
      <c r="C58" s="96"/>
      <c r="D58" s="96"/>
      <c r="E58" s="96"/>
      <c r="F58" s="96"/>
      <c r="G58" s="96"/>
      <c r="H58" s="96"/>
      <c r="I58" s="96"/>
      <c r="J58" s="96"/>
      <c r="K58" s="96"/>
      <c r="L58" s="66"/>
    </row>
    <row r="59" spans="1:12" ht="19.5" customHeight="1">
      <c r="A59" s="773" t="s">
        <v>781</v>
      </c>
      <c r="B59" s="97">
        <f aca="true" t="shared" si="0" ref="B59:H59">SUM(B50:B52)</f>
        <v>100</v>
      </c>
      <c r="C59" s="97">
        <f t="shared" si="0"/>
        <v>0</v>
      </c>
      <c r="D59" s="97">
        <f t="shared" si="0"/>
        <v>0</v>
      </c>
      <c r="E59" s="97">
        <f t="shared" si="0"/>
        <v>0</v>
      </c>
      <c r="F59" s="97">
        <f t="shared" si="0"/>
        <v>0</v>
      </c>
      <c r="G59" s="97">
        <f t="shared" si="0"/>
        <v>0</v>
      </c>
      <c r="H59" s="97">
        <f t="shared" si="0"/>
        <v>0</v>
      </c>
      <c r="I59" s="97">
        <f>SUM(I50:I52)</f>
        <v>0</v>
      </c>
      <c r="J59" s="97">
        <f>SUM(J50:J52)</f>
        <v>0</v>
      </c>
      <c r="K59" s="97">
        <f>SUM(K50:K52)</f>
        <v>0</v>
      </c>
      <c r="L59" s="66" t="s">
        <v>807</v>
      </c>
    </row>
    <row r="60" spans="1:12" ht="19.5" customHeight="1">
      <c r="A60" s="773" t="s">
        <v>908</v>
      </c>
      <c r="B60" s="98">
        <f aca="true" t="shared" si="1" ref="B60:H60">SUM(B53:B55)</f>
        <v>0</v>
      </c>
      <c r="C60" s="98">
        <f t="shared" si="1"/>
        <v>0</v>
      </c>
      <c r="D60" s="98">
        <f t="shared" si="1"/>
        <v>0</v>
      </c>
      <c r="E60" s="98">
        <f t="shared" si="1"/>
        <v>0</v>
      </c>
      <c r="F60" s="98">
        <f t="shared" si="1"/>
        <v>0</v>
      </c>
      <c r="G60" s="98">
        <f t="shared" si="1"/>
        <v>0</v>
      </c>
      <c r="H60" s="98">
        <f t="shared" si="1"/>
        <v>0</v>
      </c>
      <c r="I60" s="98">
        <f>SUM(I53:I55)</f>
        <v>0</v>
      </c>
      <c r="J60" s="98">
        <f>SUM(J53:J55)</f>
        <v>0</v>
      </c>
      <c r="K60" s="98">
        <f>SUM(K53:K55)</f>
        <v>0</v>
      </c>
      <c r="L60" s="99" t="s">
        <v>903</v>
      </c>
    </row>
    <row r="61" spans="1:12" ht="19.5" customHeight="1">
      <c r="A61" s="774" t="s">
        <v>771</v>
      </c>
      <c r="B61" s="100">
        <v>1</v>
      </c>
      <c r="C61" s="100">
        <v>1</v>
      </c>
      <c r="D61" s="100">
        <v>1</v>
      </c>
      <c r="E61" s="100">
        <v>1</v>
      </c>
      <c r="F61" s="100">
        <v>1</v>
      </c>
      <c r="G61" s="100">
        <v>1</v>
      </c>
      <c r="H61" s="100">
        <v>1</v>
      </c>
      <c r="I61" s="100">
        <v>1</v>
      </c>
      <c r="J61" s="100">
        <v>1</v>
      </c>
      <c r="K61" s="100">
        <v>1</v>
      </c>
      <c r="L61" s="4"/>
    </row>
    <row r="62" spans="1:12" ht="19.5" customHeight="1" thickBot="1">
      <c r="A62" s="775" t="s">
        <v>772</v>
      </c>
      <c r="B62" s="101">
        <v>1</v>
      </c>
      <c r="C62" s="101">
        <v>1</v>
      </c>
      <c r="D62" s="101">
        <v>1</v>
      </c>
      <c r="E62" s="101">
        <v>1</v>
      </c>
      <c r="F62" s="101">
        <v>1</v>
      </c>
      <c r="G62" s="101">
        <v>1</v>
      </c>
      <c r="H62" s="101">
        <v>1</v>
      </c>
      <c r="I62" s="101">
        <v>1</v>
      </c>
      <c r="J62" s="101">
        <v>1</v>
      </c>
      <c r="K62" s="101">
        <v>1</v>
      </c>
      <c r="L62" s="4"/>
    </row>
    <row r="63" spans="1:12" ht="19.5" customHeight="1">
      <c r="A63" s="102" t="s">
        <v>1016</v>
      </c>
      <c r="B63" s="103">
        <f>SUM(B60:K60)</f>
        <v>0</v>
      </c>
      <c r="C63" s="35"/>
      <c r="D63" s="35"/>
      <c r="E63" s="35"/>
      <c r="F63" s="35"/>
      <c r="G63" s="35"/>
      <c r="H63" s="35"/>
      <c r="I63" s="35"/>
      <c r="J63" s="35"/>
      <c r="K63" s="35"/>
      <c r="L63" s="4"/>
    </row>
    <row r="64" spans="1:21" ht="19.5" customHeight="1">
      <c r="A64" s="104">
        <f>IF(E5=1,"件外物件有り注意","")</f>
      </c>
      <c r="B64" s="4"/>
      <c r="C64" s="66"/>
      <c r="D64" s="66"/>
      <c r="E64" s="4"/>
      <c r="F64" s="4"/>
      <c r="G64" s="4"/>
      <c r="H64" s="4"/>
      <c r="I64" s="4"/>
      <c r="J64" s="4"/>
      <c r="K64" s="4"/>
      <c r="L64" s="4"/>
      <c r="M64" s="4"/>
      <c r="N64" s="4"/>
      <c r="O64" s="4"/>
      <c r="P64" s="4"/>
      <c r="Q64" s="4"/>
      <c r="R64" s="4"/>
      <c r="S64" s="4"/>
      <c r="T64" s="4"/>
      <c r="U64" s="4"/>
    </row>
    <row r="65" spans="1:21" ht="19.5" customHeight="1">
      <c r="A65" s="105" t="s">
        <v>538</v>
      </c>
      <c r="B65" s="106" t="s">
        <v>151</v>
      </c>
      <c r="C65" s="107"/>
      <c r="D65" s="107"/>
      <c r="E65" s="107"/>
      <c r="F65" s="1"/>
      <c r="G65" s="1"/>
      <c r="H65" s="1"/>
      <c r="I65" s="1"/>
      <c r="J65" s="1"/>
      <c r="K65" s="1"/>
      <c r="L65" s="4"/>
      <c r="M65" s="4"/>
      <c r="N65" s="4"/>
      <c r="O65" s="4"/>
      <c r="P65" s="4"/>
      <c r="Q65" s="4"/>
      <c r="R65" s="4"/>
      <c r="S65" s="4"/>
      <c r="T65" s="4"/>
      <c r="U65" s="4"/>
    </row>
    <row r="66" spans="1:21" ht="19.5" customHeight="1">
      <c r="A66" s="108">
        <v>0</v>
      </c>
      <c r="B66" s="109" t="s">
        <v>152</v>
      </c>
      <c r="C66" s="110"/>
      <c r="D66" s="109" t="s">
        <v>193</v>
      </c>
      <c r="E66" s="110"/>
      <c r="F66" s="861" t="s">
        <v>786</v>
      </c>
      <c r="G66" s="862"/>
      <c r="H66" s="863"/>
      <c r="I66" s="1"/>
      <c r="J66" s="1"/>
      <c r="K66" s="1"/>
      <c r="L66" s="4"/>
      <c r="M66" s="4"/>
      <c r="N66" s="4"/>
      <c r="O66" s="4"/>
      <c r="P66" s="4"/>
      <c r="Q66" s="4"/>
      <c r="R66" s="4"/>
      <c r="S66" s="4"/>
      <c r="T66" s="4"/>
      <c r="U66" s="4"/>
    </row>
    <row r="67" spans="1:21" ht="19.5" customHeight="1">
      <c r="A67" s="108">
        <v>0</v>
      </c>
      <c r="B67" s="109" t="s">
        <v>787</v>
      </c>
      <c r="C67" s="110"/>
      <c r="D67" s="109" t="s">
        <v>788</v>
      </c>
      <c r="E67" s="110"/>
      <c r="F67" s="864"/>
      <c r="G67" s="865"/>
      <c r="H67" s="866"/>
      <c r="I67" s="1"/>
      <c r="J67" s="1"/>
      <c r="K67" s="1"/>
      <c r="L67" s="4"/>
      <c r="M67" s="4"/>
      <c r="N67" s="4"/>
      <c r="O67" s="4"/>
      <c r="P67" s="4"/>
      <c r="Q67" s="4"/>
      <c r="R67" s="4"/>
      <c r="S67" s="4"/>
      <c r="T67" s="4"/>
      <c r="U67" s="4"/>
    </row>
    <row r="68" spans="1:21" ht="19.5" customHeight="1">
      <c r="A68" s="111">
        <v>0</v>
      </c>
      <c r="B68" s="109" t="s">
        <v>789</v>
      </c>
      <c r="C68" s="110"/>
      <c r="D68" s="109" t="s">
        <v>790</v>
      </c>
      <c r="E68" s="110"/>
      <c r="F68" s="867" t="s">
        <v>651</v>
      </c>
      <c r="G68" s="868"/>
      <c r="H68" s="869"/>
      <c r="I68" s="1"/>
      <c r="J68" s="1"/>
      <c r="K68" s="1"/>
      <c r="L68" s="4"/>
      <c r="M68" s="4"/>
      <c r="N68" s="4"/>
      <c r="O68" s="4"/>
      <c r="P68" s="4"/>
      <c r="Q68" s="4"/>
      <c r="R68" s="4"/>
      <c r="S68" s="4"/>
      <c r="T68" s="4"/>
      <c r="U68" s="4"/>
    </row>
    <row r="69" spans="1:21" ht="19.5" customHeight="1">
      <c r="A69" s="111">
        <v>0</v>
      </c>
      <c r="B69" s="109" t="s">
        <v>796</v>
      </c>
      <c r="C69" s="110"/>
      <c r="D69" s="109" t="s">
        <v>797</v>
      </c>
      <c r="E69" s="110"/>
      <c r="F69" s="870"/>
      <c r="G69" s="871"/>
      <c r="H69" s="872"/>
      <c r="I69" s="1"/>
      <c r="J69" s="1"/>
      <c r="K69" s="1"/>
      <c r="L69" s="4"/>
      <c r="M69" s="4"/>
      <c r="N69" s="4"/>
      <c r="O69" s="4"/>
      <c r="P69" s="4"/>
      <c r="Q69" s="4"/>
      <c r="R69" s="4"/>
      <c r="S69" s="4"/>
      <c r="T69" s="4"/>
      <c r="U69" s="4"/>
    </row>
    <row r="70" spans="1:21" ht="19.5" customHeight="1">
      <c r="A70" s="111">
        <v>0</v>
      </c>
      <c r="B70" s="109" t="s">
        <v>2</v>
      </c>
      <c r="C70" s="110"/>
      <c r="D70" s="109" t="s">
        <v>3</v>
      </c>
      <c r="E70" s="110"/>
      <c r="F70" s="873"/>
      <c r="G70" s="874"/>
      <c r="H70" s="875"/>
      <c r="I70" s="1"/>
      <c r="J70" s="1"/>
      <c r="K70" s="1"/>
      <c r="L70" s="4"/>
      <c r="M70" s="4"/>
      <c r="N70" s="4"/>
      <c r="O70" s="4"/>
      <c r="P70" s="4"/>
      <c r="Q70" s="4"/>
      <c r="R70" s="4"/>
      <c r="S70" s="4"/>
      <c r="T70" s="4"/>
      <c r="U70" s="4"/>
    </row>
    <row r="71" spans="1:21" ht="19.5" customHeight="1">
      <c r="A71" s="111">
        <v>0</v>
      </c>
      <c r="B71" s="109" t="s">
        <v>4</v>
      </c>
      <c r="C71" s="110"/>
      <c r="D71" s="109" t="s">
        <v>81</v>
      </c>
      <c r="E71" s="110"/>
      <c r="F71" s="870" t="s">
        <v>812</v>
      </c>
      <c r="G71" s="871"/>
      <c r="H71" s="872"/>
      <c r="I71" s="1"/>
      <c r="J71" s="1"/>
      <c r="K71" s="1"/>
      <c r="L71" s="4"/>
      <c r="M71" s="4"/>
      <c r="N71" s="4"/>
      <c r="O71" s="4"/>
      <c r="P71" s="4"/>
      <c r="Q71" s="4"/>
      <c r="R71" s="4"/>
      <c r="S71" s="4"/>
      <c r="T71" s="4"/>
      <c r="U71" s="4"/>
    </row>
    <row r="72" spans="1:21" ht="19.5" customHeight="1">
      <c r="A72" s="111">
        <v>0</v>
      </c>
      <c r="B72" s="109" t="s">
        <v>813</v>
      </c>
      <c r="C72" s="110"/>
      <c r="D72" s="109" t="s">
        <v>814</v>
      </c>
      <c r="E72" s="110"/>
      <c r="F72" s="873"/>
      <c r="G72" s="874"/>
      <c r="H72" s="875"/>
      <c r="I72" s="1"/>
      <c r="J72" s="1"/>
      <c r="K72" s="1"/>
      <c r="L72" s="4"/>
      <c r="M72" s="4"/>
      <c r="N72" s="4"/>
      <c r="O72" s="4"/>
      <c r="P72" s="4"/>
      <c r="Q72" s="4"/>
      <c r="R72" s="4"/>
      <c r="S72" s="4"/>
      <c r="T72" s="4"/>
      <c r="U72" s="4"/>
    </row>
    <row r="73" spans="1:21" ht="19.5" customHeight="1">
      <c r="A73" s="111">
        <v>0</v>
      </c>
      <c r="B73" s="112" t="s">
        <v>815</v>
      </c>
      <c r="C73" s="113"/>
      <c r="D73" s="114" t="s">
        <v>816</v>
      </c>
      <c r="E73" s="115"/>
      <c r="F73" s="782" t="s">
        <v>817</v>
      </c>
      <c r="G73" s="783"/>
      <c r="H73" s="784"/>
      <c r="I73" s="116" t="s">
        <v>681</v>
      </c>
      <c r="J73" s="1"/>
      <c r="K73" s="1"/>
      <c r="L73" s="4"/>
      <c r="M73" s="4"/>
      <c r="N73" s="4"/>
      <c r="O73" s="4"/>
      <c r="P73" s="4"/>
      <c r="Q73" s="4"/>
      <c r="R73" s="4"/>
      <c r="S73" s="4"/>
      <c r="T73" s="4"/>
      <c r="U73" s="4"/>
    </row>
    <row r="74" spans="1:21" ht="19.5" customHeight="1">
      <c r="A74" s="117">
        <v>0</v>
      </c>
      <c r="B74" s="109" t="s">
        <v>819</v>
      </c>
      <c r="C74" s="110"/>
      <c r="D74" s="118" t="s">
        <v>820</v>
      </c>
      <c r="E74" s="119"/>
      <c r="F74" s="885" t="s">
        <v>679</v>
      </c>
      <c r="G74" s="886"/>
      <c r="H74" s="887"/>
      <c r="I74" s="116" t="s">
        <v>680</v>
      </c>
      <c r="J74" s="1"/>
      <c r="K74" s="1"/>
      <c r="L74" s="4"/>
      <c r="M74" s="4"/>
      <c r="N74" s="4"/>
      <c r="O74" s="4"/>
      <c r="P74" s="4"/>
      <c r="Q74" s="4"/>
      <c r="R74" s="4"/>
      <c r="S74" s="4"/>
      <c r="T74" s="4"/>
      <c r="U74" s="4"/>
    </row>
    <row r="75" spans="1:21" ht="19.5" customHeight="1">
      <c r="A75" s="117">
        <v>0</v>
      </c>
      <c r="B75" s="109" t="s">
        <v>561</v>
      </c>
      <c r="C75" s="110"/>
      <c r="D75" s="118" t="s">
        <v>562</v>
      </c>
      <c r="E75" s="119"/>
      <c r="F75" s="888"/>
      <c r="G75" s="889"/>
      <c r="H75" s="890"/>
      <c r="I75" s="1"/>
      <c r="J75" s="1"/>
      <c r="K75" s="1"/>
      <c r="L75" s="4"/>
      <c r="M75" s="4"/>
      <c r="N75" s="4"/>
      <c r="O75" s="4"/>
      <c r="P75" s="4"/>
      <c r="Q75" s="4"/>
      <c r="R75" s="4"/>
      <c r="S75" s="4"/>
      <c r="T75" s="4"/>
      <c r="U75" s="4"/>
    </row>
    <row r="76" spans="1:21" ht="19.5" customHeight="1">
      <c r="A76" s="111">
        <v>0</v>
      </c>
      <c r="B76" s="112" t="s">
        <v>563</v>
      </c>
      <c r="C76" s="113"/>
      <c r="D76" s="112" t="s">
        <v>564</v>
      </c>
      <c r="E76" s="113"/>
      <c r="F76" s="888"/>
      <c r="G76" s="889"/>
      <c r="H76" s="890"/>
      <c r="I76" s="1"/>
      <c r="J76" s="1"/>
      <c r="K76" s="1"/>
      <c r="L76" s="4"/>
      <c r="M76" s="4"/>
      <c r="N76" s="4"/>
      <c r="O76" s="4"/>
      <c r="P76" s="4"/>
      <c r="Q76" s="4"/>
      <c r="R76" s="4"/>
      <c r="S76" s="4"/>
      <c r="T76" s="4"/>
      <c r="U76" s="4"/>
    </row>
    <row r="77" spans="1:21" ht="19.5" customHeight="1">
      <c r="A77" s="111">
        <v>0</v>
      </c>
      <c r="B77" s="112" t="s">
        <v>565</v>
      </c>
      <c r="C77" s="113"/>
      <c r="D77" s="112" t="s">
        <v>566</v>
      </c>
      <c r="E77" s="113"/>
      <c r="F77" s="888"/>
      <c r="G77" s="889"/>
      <c r="H77" s="890"/>
      <c r="I77" s="1"/>
      <c r="J77" s="1"/>
      <c r="K77" s="1"/>
      <c r="L77" s="4"/>
      <c r="M77" s="4"/>
      <c r="N77" s="4"/>
      <c r="O77" s="4"/>
      <c r="P77" s="4"/>
      <c r="Q77" s="4"/>
      <c r="R77" s="4"/>
      <c r="S77" s="4"/>
      <c r="T77" s="4"/>
      <c r="U77" s="4"/>
    </row>
    <row r="78" spans="1:21" ht="19.5" customHeight="1">
      <c r="A78" s="111">
        <v>0</v>
      </c>
      <c r="B78" s="112" t="s">
        <v>682</v>
      </c>
      <c r="C78" s="113"/>
      <c r="D78" s="112" t="s">
        <v>683</v>
      </c>
      <c r="E78" s="113"/>
      <c r="F78" s="788" t="s">
        <v>684</v>
      </c>
      <c r="G78" s="787"/>
      <c r="H78" s="786"/>
      <c r="I78" s="1"/>
      <c r="J78" s="1"/>
      <c r="K78" s="1"/>
      <c r="L78" s="4"/>
      <c r="M78" s="4"/>
      <c r="N78" s="4"/>
      <c r="O78" s="4"/>
      <c r="P78" s="4"/>
      <c r="Q78" s="4"/>
      <c r="R78" s="4"/>
      <c r="S78" s="4"/>
      <c r="T78" s="4"/>
      <c r="U78" s="4"/>
    </row>
    <row r="79" spans="1:21" ht="19.5" customHeight="1">
      <c r="A79" s="111">
        <v>0</v>
      </c>
      <c r="B79" s="109" t="s">
        <v>827</v>
      </c>
      <c r="C79" s="110"/>
      <c r="D79" s="109" t="s">
        <v>828</v>
      </c>
      <c r="E79" s="110"/>
      <c r="F79" s="48"/>
      <c r="G79" s="122">
        <v>0</v>
      </c>
      <c r="H79" s="123" t="s">
        <v>829</v>
      </c>
      <c r="I79" s="1"/>
      <c r="J79" s="1"/>
      <c r="K79" s="1"/>
      <c r="L79" s="4"/>
      <c r="M79" s="4"/>
      <c r="N79" s="4"/>
      <c r="O79" s="4"/>
      <c r="P79" s="4"/>
      <c r="Q79" s="4"/>
      <c r="R79" s="4"/>
      <c r="S79" s="4"/>
      <c r="T79" s="4"/>
      <c r="U79" s="4"/>
    </row>
    <row r="80" spans="1:21" ht="19.5" customHeight="1">
      <c r="A80" s="111">
        <v>0</v>
      </c>
      <c r="B80" s="109" t="s">
        <v>827</v>
      </c>
      <c r="C80" s="110"/>
      <c r="D80" s="109" t="s">
        <v>830</v>
      </c>
      <c r="E80" s="110"/>
      <c r="F80" s="4"/>
      <c r="G80" s="124">
        <v>0</v>
      </c>
      <c r="H80" s="123" t="s">
        <v>831</v>
      </c>
      <c r="I80" s="1"/>
      <c r="J80" s="1"/>
      <c r="K80" s="1"/>
      <c r="L80" s="4"/>
      <c r="M80" s="4"/>
      <c r="N80" s="4"/>
      <c r="O80" s="4"/>
      <c r="P80" s="4"/>
      <c r="Q80" s="4"/>
      <c r="R80" s="4"/>
      <c r="S80" s="4"/>
      <c r="T80" s="4"/>
      <c r="U80" s="4"/>
    </row>
    <row r="81" spans="1:21" ht="19.5" customHeight="1">
      <c r="A81" s="111">
        <v>0</v>
      </c>
      <c r="B81" s="112" t="s">
        <v>832</v>
      </c>
      <c r="C81" s="113"/>
      <c r="D81" s="112" t="s">
        <v>833</v>
      </c>
      <c r="E81" s="113"/>
      <c r="F81" s="835" t="s">
        <v>702</v>
      </c>
      <c r="G81" s="836"/>
      <c r="H81" s="837"/>
      <c r="I81" s="1"/>
      <c r="J81" s="1"/>
      <c r="K81" s="1"/>
      <c r="L81" s="4"/>
      <c r="M81" s="4"/>
      <c r="N81" s="4"/>
      <c r="O81" s="4"/>
      <c r="P81" s="4"/>
      <c r="Q81" s="4"/>
      <c r="R81" s="4"/>
      <c r="S81" s="4"/>
      <c r="T81" s="4"/>
      <c r="U81" s="4"/>
    </row>
    <row r="82" spans="1:21" ht="19.5" customHeight="1">
      <c r="A82" s="111">
        <v>0</v>
      </c>
      <c r="B82" s="109" t="s">
        <v>705</v>
      </c>
      <c r="C82" s="110"/>
      <c r="D82" s="109" t="s">
        <v>706</v>
      </c>
      <c r="E82" s="110"/>
      <c r="F82" s="125" t="s">
        <v>844</v>
      </c>
      <c r="G82" s="126">
        <f>B63</f>
        <v>0</v>
      </c>
      <c r="H82" s="38"/>
      <c r="I82" s="1"/>
      <c r="J82" s="1"/>
      <c r="K82" s="1"/>
      <c r="L82" s="4"/>
      <c r="M82" s="4"/>
      <c r="N82" s="4"/>
      <c r="O82" s="4"/>
      <c r="P82" s="4"/>
      <c r="Q82" s="4"/>
      <c r="R82" s="4"/>
      <c r="S82" s="4"/>
      <c r="T82" s="4"/>
      <c r="U82" s="4"/>
    </row>
    <row r="83" spans="1:21" ht="19.5" customHeight="1">
      <c r="A83" s="111">
        <v>0</v>
      </c>
      <c r="B83" s="112" t="s">
        <v>712</v>
      </c>
      <c r="C83" s="113"/>
      <c r="D83" s="112" t="s">
        <v>713</v>
      </c>
      <c r="E83" s="113"/>
      <c r="F83" s="876" t="str">
        <f>IF(G82&gt;0,"現況床面積入力あり","現況床面積入力なし")</f>
        <v>現況床面積入力なし</v>
      </c>
      <c r="G83" s="877"/>
      <c r="H83" s="878"/>
      <c r="I83" s="1"/>
      <c r="J83" s="1"/>
      <c r="K83" s="1"/>
      <c r="L83" s="4"/>
      <c r="M83" s="4"/>
      <c r="N83" s="4"/>
      <c r="O83" s="4"/>
      <c r="P83" s="4"/>
      <c r="Q83" s="4"/>
      <c r="R83" s="4"/>
      <c r="S83" s="4"/>
      <c r="T83" s="4"/>
      <c r="U83" s="4"/>
    </row>
    <row r="84" spans="1:21" ht="19.5" customHeight="1">
      <c r="A84" s="127" t="str">
        <f>IF('要因'!B9=1,'基礎'!B84,IF('要因'!B9=2,'基礎'!C84,IF('要因'!B9=3,'基礎'!D84,'基礎'!E84)))</f>
        <v>□市街化調整区域</v>
      </c>
      <c r="B84" s="112" t="s">
        <v>834</v>
      </c>
      <c r="C84" s="112" t="s">
        <v>971</v>
      </c>
      <c r="D84" s="112" t="s">
        <v>972</v>
      </c>
      <c r="E84" s="112" t="s">
        <v>61</v>
      </c>
      <c r="F84" s="879"/>
      <c r="G84" s="880"/>
      <c r="H84" s="881"/>
      <c r="I84" s="1"/>
      <c r="J84" s="1"/>
      <c r="K84" s="1"/>
      <c r="L84" s="4"/>
      <c r="M84" s="4"/>
      <c r="N84" s="4"/>
      <c r="O84" s="4"/>
      <c r="P84" s="4"/>
      <c r="Q84" s="4"/>
      <c r="R84" s="4"/>
      <c r="S84" s="4"/>
      <c r="T84" s="4"/>
      <c r="U84" s="4"/>
    </row>
    <row r="85" spans="1:21" ht="19.5" customHeight="1">
      <c r="A85" s="128">
        <v>0</v>
      </c>
      <c r="B85" s="112" t="s">
        <v>102</v>
      </c>
      <c r="C85" s="113"/>
      <c r="D85" s="112" t="s">
        <v>102</v>
      </c>
      <c r="E85" s="113"/>
      <c r="F85" s="882"/>
      <c r="G85" s="883"/>
      <c r="H85" s="884"/>
      <c r="I85" s="1"/>
      <c r="J85" s="1"/>
      <c r="K85" s="1"/>
      <c r="L85" s="4"/>
      <c r="M85" s="4"/>
      <c r="N85" s="4"/>
      <c r="O85" s="4"/>
      <c r="P85" s="4"/>
      <c r="Q85" s="4"/>
      <c r="R85" s="4"/>
      <c r="S85" s="4"/>
      <c r="T85" s="4"/>
      <c r="U85" s="4"/>
    </row>
    <row r="86" spans="1:21" ht="19.5" customHeight="1">
      <c r="A86" s="4"/>
      <c r="B86" s="4"/>
      <c r="C86" s="4"/>
      <c r="D86" s="4"/>
      <c r="E86" s="4"/>
      <c r="F86" s="4"/>
      <c r="G86" s="4"/>
      <c r="H86" s="4"/>
      <c r="I86" s="4"/>
      <c r="J86" s="4"/>
      <c r="K86" s="4"/>
      <c r="L86" s="4"/>
      <c r="M86" s="4"/>
      <c r="N86" s="4"/>
      <c r="O86" s="4"/>
      <c r="P86" s="4"/>
      <c r="Q86" s="4"/>
      <c r="R86" s="4"/>
      <c r="S86" s="4"/>
      <c r="T86" s="4"/>
      <c r="U86" s="4"/>
    </row>
    <row r="87" spans="1:21" ht="19.5" customHeight="1">
      <c r="A87" s="129" t="s">
        <v>62</v>
      </c>
      <c r="B87" s="4" t="s">
        <v>982</v>
      </c>
      <c r="C87" s="4"/>
      <c r="D87" s="4"/>
      <c r="E87" s="4"/>
      <c r="F87" s="4"/>
      <c r="G87" s="4"/>
      <c r="H87" s="4"/>
      <c r="I87" s="4"/>
      <c r="J87" s="4"/>
      <c r="K87" s="4"/>
      <c r="L87" s="4"/>
      <c r="M87" s="4"/>
      <c r="N87" s="4"/>
      <c r="O87" s="4"/>
      <c r="P87" s="4"/>
      <c r="Q87" s="4"/>
      <c r="R87" s="4"/>
      <c r="S87" s="4"/>
      <c r="T87" s="4"/>
      <c r="U87" s="4"/>
    </row>
    <row r="88" spans="1:21" ht="19.5" customHeight="1">
      <c r="A88" s="130" t="s">
        <v>983</v>
      </c>
      <c r="B88" s="111">
        <v>1</v>
      </c>
      <c r="C88" s="111">
        <v>0</v>
      </c>
      <c r="D88" s="1" t="s">
        <v>44</v>
      </c>
      <c r="E88" s="4"/>
      <c r="F88" s="4"/>
      <c r="G88" s="4"/>
      <c r="H88" s="4"/>
      <c r="I88" s="4"/>
      <c r="J88" s="4"/>
      <c r="K88" s="4"/>
      <c r="L88" s="4"/>
      <c r="M88" s="4"/>
      <c r="N88" s="4"/>
      <c r="O88" s="4"/>
      <c r="P88" s="4"/>
      <c r="Q88" s="4"/>
      <c r="R88" s="4"/>
      <c r="S88" s="4"/>
      <c r="T88" s="4"/>
      <c r="U88" s="4"/>
    </row>
    <row r="89" spans="1:22" ht="19.5" customHeight="1">
      <c r="A89" s="130" t="s">
        <v>983</v>
      </c>
      <c r="B89" s="130" t="s">
        <v>878</v>
      </c>
      <c r="C89" s="130" t="s">
        <v>46</v>
      </c>
      <c r="D89" s="130" t="s">
        <v>866</v>
      </c>
      <c r="E89" s="130" t="s">
        <v>895</v>
      </c>
      <c r="F89" s="130" t="s">
        <v>889</v>
      </c>
      <c r="G89" s="130" t="s">
        <v>984</v>
      </c>
      <c r="H89" s="130" t="s">
        <v>875</v>
      </c>
      <c r="I89" s="130" t="s">
        <v>876</v>
      </c>
      <c r="J89" s="4"/>
      <c r="K89" s="4"/>
      <c r="L89" s="4"/>
      <c r="M89" s="4"/>
      <c r="N89" s="4"/>
      <c r="O89" s="4"/>
      <c r="P89" s="4"/>
      <c r="Q89" s="4"/>
      <c r="R89" s="4"/>
      <c r="S89" s="4"/>
      <c r="T89" s="4"/>
      <c r="U89" s="4"/>
      <c r="V89" s="4"/>
    </row>
    <row r="90" spans="1:22" ht="19.5" customHeight="1">
      <c r="A90" s="130">
        <v>1</v>
      </c>
      <c r="B90" s="130" t="str">
        <f>B43</f>
        <v>2</v>
      </c>
      <c r="C90" s="131">
        <f>ROUNDDOWN('試算'!C65,-4)</f>
        <v>2230000</v>
      </c>
      <c r="D90" s="132" t="str">
        <f>'要因'!B49</f>
        <v>木造</v>
      </c>
      <c r="E90" s="132" t="str">
        <f>'要因'!B50</f>
        <v>２階建</v>
      </c>
      <c r="F90" s="130" t="str">
        <f>B47</f>
        <v>居　宅</v>
      </c>
      <c r="G90" s="133">
        <f>B59</f>
        <v>100</v>
      </c>
      <c r="H90" s="132">
        <f>IF('要因'!B45=1,"築年不詳",'要因'!B44)</f>
        <v>31047</v>
      </c>
      <c r="I90" s="134" t="str">
        <f>'要因'!B59</f>
        <v>添付間取り図のとおり</v>
      </c>
      <c r="J90" s="4"/>
      <c r="K90" s="4"/>
      <c r="L90" s="4"/>
      <c r="M90" s="4"/>
      <c r="N90" s="4"/>
      <c r="O90" s="4"/>
      <c r="P90" s="4"/>
      <c r="Q90" s="4"/>
      <c r="R90" s="4"/>
      <c r="S90" s="4"/>
      <c r="T90" s="4"/>
      <c r="U90" s="4"/>
      <c r="V90" s="4"/>
    </row>
    <row r="91" spans="1:22" ht="19.5" customHeight="1">
      <c r="A91" s="130">
        <v>2</v>
      </c>
      <c r="B91" s="130">
        <f>C43</f>
        <v>0</v>
      </c>
      <c r="C91" s="131">
        <f>ROUNDDOWN('試算'!D65,-4)</f>
        <v>0</v>
      </c>
      <c r="D91" s="132">
        <f>'要因'!C49</f>
        <v>0</v>
      </c>
      <c r="E91" s="132">
        <f>'要因'!C50</f>
        <v>0</v>
      </c>
      <c r="F91" s="130">
        <f>C47</f>
        <v>0</v>
      </c>
      <c r="G91" s="133">
        <f>C59</f>
        <v>0</v>
      </c>
      <c r="H91" s="132">
        <f>IF('要因'!C45=1,"築年不詳",'要因'!C44)</f>
        <v>0</v>
      </c>
      <c r="I91" s="134">
        <f>'要因'!C59</f>
        <v>0</v>
      </c>
      <c r="J91" s="4"/>
      <c r="K91" s="4"/>
      <c r="L91" s="4"/>
      <c r="M91" s="4"/>
      <c r="N91" s="4"/>
      <c r="O91" s="4"/>
      <c r="P91" s="4"/>
      <c r="Q91" s="4"/>
      <c r="R91" s="4"/>
      <c r="S91" s="4"/>
      <c r="T91" s="4"/>
      <c r="U91" s="4"/>
      <c r="V91" s="4"/>
    </row>
    <row r="92" spans="1:22" ht="19.5" customHeight="1">
      <c r="A92" s="130">
        <v>3</v>
      </c>
      <c r="B92" s="130">
        <f>D43</f>
        <v>0</v>
      </c>
      <c r="C92" s="131">
        <f>ROUNDDOWN('試算'!E65,-4)</f>
        <v>0</v>
      </c>
      <c r="D92" s="132">
        <f>'要因'!D49</f>
        <v>0</v>
      </c>
      <c r="E92" s="132">
        <f>'要因'!D50</f>
        <v>0</v>
      </c>
      <c r="F92" s="130">
        <f>D47</f>
        <v>0</v>
      </c>
      <c r="G92" s="133">
        <f>D59</f>
        <v>0</v>
      </c>
      <c r="H92" s="132">
        <f>IF('要因'!D45=1,"築年不詳",'要因'!D44)</f>
        <v>0</v>
      </c>
      <c r="I92" s="134">
        <f>'要因'!D59</f>
        <v>0</v>
      </c>
      <c r="J92" s="4"/>
      <c r="K92" s="4"/>
      <c r="L92" s="4"/>
      <c r="M92" s="4"/>
      <c r="N92" s="4"/>
      <c r="O92" s="4"/>
      <c r="P92" s="4"/>
      <c r="Q92" s="4"/>
      <c r="R92" s="4"/>
      <c r="S92" s="4"/>
      <c r="T92" s="4"/>
      <c r="U92" s="4"/>
      <c r="V92" s="4"/>
    </row>
    <row r="93" spans="1:22" ht="19.5" customHeight="1">
      <c r="A93" s="130">
        <v>4</v>
      </c>
      <c r="B93" s="130">
        <f>E43</f>
        <v>0</v>
      </c>
      <c r="C93" s="131">
        <f>ROUNDDOWN('試算'!F65,-4)</f>
        <v>0</v>
      </c>
      <c r="D93" s="132">
        <f>'要因'!E49</f>
        <v>0</v>
      </c>
      <c r="E93" s="132">
        <f>'要因'!E50</f>
        <v>0</v>
      </c>
      <c r="F93" s="130">
        <f>E47</f>
        <v>0</v>
      </c>
      <c r="G93" s="133">
        <f>E59</f>
        <v>0</v>
      </c>
      <c r="H93" s="132">
        <f>IF('要因'!E45=1,"築年不詳",'要因'!E44)</f>
        <v>0</v>
      </c>
      <c r="I93" s="134">
        <f>'要因'!E59</f>
        <v>0</v>
      </c>
      <c r="J93" s="4"/>
      <c r="K93" s="4"/>
      <c r="L93" s="4"/>
      <c r="M93" s="4"/>
      <c r="N93" s="4"/>
      <c r="O93" s="4"/>
      <c r="P93" s="4"/>
      <c r="Q93" s="4"/>
      <c r="R93" s="4"/>
      <c r="S93" s="4"/>
      <c r="T93" s="4"/>
      <c r="U93" s="4"/>
      <c r="V93" s="4"/>
    </row>
    <row r="94" spans="1:22" ht="19.5" customHeight="1">
      <c r="A94" s="130">
        <v>5</v>
      </c>
      <c r="B94" s="130">
        <f>F43</f>
        <v>0</v>
      </c>
      <c r="C94" s="131">
        <f>ROUNDDOWN('試算'!G65,-4)</f>
        <v>0</v>
      </c>
      <c r="D94" s="132">
        <f>'要因'!F49</f>
        <v>0</v>
      </c>
      <c r="E94" s="132">
        <f>'要因'!F50</f>
        <v>0</v>
      </c>
      <c r="F94" s="130">
        <f>F47</f>
        <v>0</v>
      </c>
      <c r="G94" s="133">
        <f>F59</f>
        <v>0</v>
      </c>
      <c r="H94" s="132">
        <f>IF('要因'!F45=1,"築年不詳",'要因'!F44)</f>
        <v>0</v>
      </c>
      <c r="I94" s="134">
        <f>'要因'!F59</f>
        <v>0</v>
      </c>
      <c r="J94" s="4"/>
      <c r="K94" s="4"/>
      <c r="L94" s="4"/>
      <c r="M94" s="4"/>
      <c r="N94" s="4"/>
      <c r="O94" s="4"/>
      <c r="P94" s="4"/>
      <c r="Q94" s="4"/>
      <c r="R94" s="4"/>
      <c r="S94" s="4"/>
      <c r="T94" s="4"/>
      <c r="U94" s="4"/>
      <c r="V94" s="4"/>
    </row>
    <row r="95" spans="1:22" ht="19.5" customHeight="1">
      <c r="A95" s="130">
        <v>6</v>
      </c>
      <c r="B95" s="130">
        <f>G43</f>
        <v>0</v>
      </c>
      <c r="C95" s="131">
        <f>ROUNDDOWN('試算'!H65,-4)</f>
        <v>0</v>
      </c>
      <c r="D95" s="132">
        <f>'要因'!G49</f>
        <v>0</v>
      </c>
      <c r="E95" s="132">
        <f>'要因'!G50</f>
        <v>0</v>
      </c>
      <c r="F95" s="130">
        <f>G47</f>
        <v>0</v>
      </c>
      <c r="G95" s="133">
        <f>G59</f>
        <v>0</v>
      </c>
      <c r="H95" s="132">
        <f>IF('要因'!G45=1,"築年不詳",'要因'!G44)</f>
        <v>0</v>
      </c>
      <c r="I95" s="134">
        <f>'要因'!G59</f>
        <v>0</v>
      </c>
      <c r="J95" s="4"/>
      <c r="K95" s="4"/>
      <c r="L95" s="4"/>
      <c r="M95" s="4"/>
      <c r="N95" s="4"/>
      <c r="O95" s="4"/>
      <c r="P95" s="4"/>
      <c r="Q95" s="4"/>
      <c r="R95" s="4"/>
      <c r="S95" s="4"/>
      <c r="T95" s="4"/>
      <c r="U95" s="4"/>
      <c r="V95" s="4"/>
    </row>
    <row r="96" spans="1:22" ht="19.5" customHeight="1">
      <c r="A96" s="130">
        <v>7</v>
      </c>
      <c r="B96" s="130">
        <f>H43</f>
        <v>0</v>
      </c>
      <c r="C96" s="131">
        <f>ROUNDDOWN('試算'!I65,-4)</f>
        <v>0</v>
      </c>
      <c r="D96" s="132">
        <f>'要因'!H49</f>
        <v>0</v>
      </c>
      <c r="E96" s="132">
        <f>'要因'!H50</f>
        <v>0</v>
      </c>
      <c r="F96" s="130">
        <f>H47</f>
        <v>0</v>
      </c>
      <c r="G96" s="133">
        <f>H59</f>
        <v>0</v>
      </c>
      <c r="H96" s="132">
        <f>IF('要因'!H45=1,"築年不詳",'要因'!H44)</f>
        <v>0</v>
      </c>
      <c r="I96" s="134">
        <f>'要因'!H59</f>
        <v>0</v>
      </c>
      <c r="J96" s="4"/>
      <c r="K96" s="4"/>
      <c r="L96" s="4"/>
      <c r="M96" s="4"/>
      <c r="N96" s="4"/>
      <c r="O96" s="4"/>
      <c r="P96" s="4"/>
      <c r="Q96" s="4"/>
      <c r="R96" s="4"/>
      <c r="S96" s="4"/>
      <c r="T96" s="4"/>
      <c r="U96" s="4"/>
      <c r="V96" s="4"/>
    </row>
    <row r="97" spans="1:22" ht="19.5" customHeight="1">
      <c r="A97" s="130">
        <v>8</v>
      </c>
      <c r="B97" s="130">
        <f>I43</f>
        <v>0</v>
      </c>
      <c r="C97" s="131">
        <f>ROUNDDOWN('試算'!J65,-4)</f>
        <v>0</v>
      </c>
      <c r="D97" s="132">
        <f>'要因'!I49</f>
        <v>0</v>
      </c>
      <c r="E97" s="132">
        <f>'要因'!I50</f>
        <v>0</v>
      </c>
      <c r="F97" s="130">
        <f>I47</f>
        <v>0</v>
      </c>
      <c r="G97" s="133">
        <f>I59</f>
        <v>0</v>
      </c>
      <c r="H97" s="132">
        <f>IF('要因'!I45=1,"築年不詳",'要因'!I44)</f>
        <v>0</v>
      </c>
      <c r="I97" s="134">
        <f>'要因'!I59</f>
        <v>0</v>
      </c>
      <c r="J97" s="4"/>
      <c r="K97" s="4"/>
      <c r="L97" s="4"/>
      <c r="M97" s="4"/>
      <c r="N97" s="4"/>
      <c r="O97" s="4"/>
      <c r="P97" s="4"/>
      <c r="Q97" s="4"/>
      <c r="R97" s="4"/>
      <c r="S97" s="4"/>
      <c r="T97" s="4"/>
      <c r="U97" s="4"/>
      <c r="V97" s="4"/>
    </row>
    <row r="98" spans="1:22" ht="19.5" customHeight="1">
      <c r="A98" s="130">
        <v>9</v>
      </c>
      <c r="B98" s="130">
        <f>J43</f>
        <v>0</v>
      </c>
      <c r="C98" s="131">
        <f>ROUNDDOWN('試算'!K65,-4)</f>
        <v>0</v>
      </c>
      <c r="D98" s="132">
        <f>'要因'!J49</f>
        <v>0</v>
      </c>
      <c r="E98" s="132">
        <f>'要因'!J50</f>
        <v>0</v>
      </c>
      <c r="F98" s="130">
        <f>J47</f>
        <v>0</v>
      </c>
      <c r="G98" s="133">
        <f>J59</f>
        <v>0</v>
      </c>
      <c r="H98" s="132">
        <f>IF('要因'!J45=1,"築年不詳",'要因'!J44)</f>
        <v>0</v>
      </c>
      <c r="I98" s="134">
        <f>'要因'!J59</f>
        <v>0</v>
      </c>
      <c r="J98" s="4"/>
      <c r="K98" s="4"/>
      <c r="L98" s="4"/>
      <c r="M98" s="4"/>
      <c r="N98" s="4"/>
      <c r="O98" s="4"/>
      <c r="P98" s="4"/>
      <c r="Q98" s="4"/>
      <c r="R98" s="4"/>
      <c r="S98" s="4"/>
      <c r="T98" s="4"/>
      <c r="U98" s="4"/>
      <c r="V98" s="4"/>
    </row>
    <row r="99" spans="1:22" ht="19.5" customHeight="1">
      <c r="A99" s="130">
        <v>10</v>
      </c>
      <c r="B99" s="130">
        <f>K43</f>
        <v>0</v>
      </c>
      <c r="C99" s="131">
        <f>ROUNDDOWN('試算'!L65,-4)</f>
        <v>0</v>
      </c>
      <c r="D99" s="132">
        <f>'要因'!K49</f>
        <v>0</v>
      </c>
      <c r="E99" s="132">
        <f>'要因'!K50</f>
        <v>0</v>
      </c>
      <c r="F99" s="130">
        <f>K47</f>
        <v>0</v>
      </c>
      <c r="G99" s="133">
        <f>K59</f>
        <v>0</v>
      </c>
      <c r="H99" s="132">
        <f>IF('要因'!K45=1,"築年不詳",'要因'!K44)</f>
        <v>0</v>
      </c>
      <c r="I99" s="134">
        <f>'要因'!K59</f>
        <v>0</v>
      </c>
      <c r="J99" s="4"/>
      <c r="K99" s="4"/>
      <c r="L99" s="4"/>
      <c r="M99" s="4"/>
      <c r="N99" s="4"/>
      <c r="O99" s="4"/>
      <c r="P99" s="4"/>
      <c r="Q99" s="4"/>
      <c r="R99" s="4"/>
      <c r="S99" s="4"/>
      <c r="T99" s="4"/>
      <c r="U99" s="4"/>
      <c r="V99" s="4"/>
    </row>
    <row r="100" spans="1:22" ht="19.5" customHeight="1">
      <c r="A100" s="135"/>
      <c r="B100" s="135"/>
      <c r="C100" s="136"/>
      <c r="D100" s="137"/>
      <c r="E100" s="137"/>
      <c r="F100" s="135"/>
      <c r="G100" s="138"/>
      <c r="H100" s="137"/>
      <c r="I100" s="139"/>
      <c r="J100" s="4"/>
      <c r="K100" s="4"/>
      <c r="L100" s="4"/>
      <c r="M100" s="4"/>
      <c r="N100" s="4"/>
      <c r="O100" s="4"/>
      <c r="P100" s="4"/>
      <c r="Q100" s="4"/>
      <c r="R100" s="4"/>
      <c r="S100" s="4"/>
      <c r="T100" s="4"/>
      <c r="U100" s="4"/>
      <c r="V100" s="4"/>
    </row>
    <row r="101" spans="1:22" ht="19.5" customHeight="1">
      <c r="A101" s="135" t="s">
        <v>760</v>
      </c>
      <c r="B101" s="139" t="s">
        <v>761</v>
      </c>
      <c r="C101" s="136"/>
      <c r="D101" s="137"/>
      <c r="E101" s="137"/>
      <c r="F101" s="135"/>
      <c r="G101" s="138"/>
      <c r="H101" s="137"/>
      <c r="I101" s="139"/>
      <c r="J101" s="4"/>
      <c r="K101" s="4"/>
      <c r="L101" s="4"/>
      <c r="M101" s="4"/>
      <c r="N101" s="4"/>
      <c r="O101" s="4"/>
      <c r="P101" s="4"/>
      <c r="Q101" s="4"/>
      <c r="R101" s="4"/>
      <c r="S101" s="4"/>
      <c r="T101" s="4"/>
      <c r="U101" s="4"/>
      <c r="V101" s="4"/>
    </row>
    <row r="102" spans="1:22" ht="19.5" customHeight="1">
      <c r="A102" s="130" t="s">
        <v>762</v>
      </c>
      <c r="B102" s="130" t="s">
        <v>763</v>
      </c>
      <c r="C102" s="140" t="s">
        <v>764</v>
      </c>
      <c r="D102" s="137"/>
      <c r="E102" s="137"/>
      <c r="F102" s="135"/>
      <c r="G102" s="138"/>
      <c r="H102" s="137"/>
      <c r="I102" s="139"/>
      <c r="J102" s="4"/>
      <c r="K102" s="4"/>
      <c r="L102" s="4"/>
      <c r="M102" s="4"/>
      <c r="N102" s="4"/>
      <c r="O102" s="4"/>
      <c r="P102" s="4"/>
      <c r="Q102" s="4"/>
      <c r="R102" s="4"/>
      <c r="S102" s="4"/>
      <c r="T102" s="4"/>
      <c r="U102" s="4"/>
      <c r="V102" s="4"/>
    </row>
    <row r="103" spans="1:22" ht="19.5" customHeight="1">
      <c r="A103" s="141" t="s">
        <v>523</v>
      </c>
      <c r="B103" s="141">
        <v>0</v>
      </c>
      <c r="C103" s="142">
        <v>0</v>
      </c>
      <c r="D103" s="143"/>
      <c r="E103" s="137"/>
      <c r="F103" s="135"/>
      <c r="G103" s="138"/>
      <c r="H103" s="137"/>
      <c r="I103" s="139"/>
      <c r="J103" s="4"/>
      <c r="K103" s="4"/>
      <c r="L103" s="4"/>
      <c r="M103" s="4"/>
      <c r="N103" s="4"/>
      <c r="O103" s="4"/>
      <c r="P103" s="4"/>
      <c r="Q103" s="4"/>
      <c r="R103" s="4"/>
      <c r="S103" s="4"/>
      <c r="T103" s="4"/>
      <c r="U103" s="4"/>
      <c r="V103" s="4"/>
    </row>
    <row r="104" spans="1:22" ht="19.5" customHeight="1">
      <c r="A104" s="34"/>
      <c r="B104" s="34"/>
      <c r="C104" s="144"/>
      <c r="D104" s="143"/>
      <c r="E104" s="137"/>
      <c r="F104" s="135"/>
      <c r="G104" s="138"/>
      <c r="H104" s="137"/>
      <c r="I104" s="139"/>
      <c r="J104" s="4"/>
      <c r="K104" s="4"/>
      <c r="L104" s="4"/>
      <c r="M104" s="4"/>
      <c r="N104" s="4"/>
      <c r="O104" s="4"/>
      <c r="P104" s="4"/>
      <c r="Q104" s="4"/>
      <c r="R104" s="4"/>
      <c r="S104" s="4"/>
      <c r="T104" s="4"/>
      <c r="U104" s="4"/>
      <c r="V104" s="4"/>
    </row>
    <row r="105" spans="1:21" ht="19.5" customHeight="1">
      <c r="A105" s="1" t="s">
        <v>428</v>
      </c>
      <c r="B105" s="4"/>
      <c r="C105" s="4"/>
      <c r="D105" s="4"/>
      <c r="E105" s="4"/>
      <c r="F105" s="4"/>
      <c r="G105" s="4"/>
      <c r="H105" s="4"/>
      <c r="I105" s="4"/>
      <c r="J105" s="4"/>
      <c r="K105" s="4"/>
      <c r="L105" s="4"/>
      <c r="M105" s="4"/>
      <c r="N105" s="4"/>
      <c r="O105" s="4"/>
      <c r="P105" s="4"/>
      <c r="Q105" s="4"/>
      <c r="R105" s="4"/>
      <c r="S105" s="4"/>
      <c r="T105" s="4"/>
      <c r="U105" s="4"/>
    </row>
    <row r="106" spans="1:21" ht="19.5" customHeight="1">
      <c r="A106" s="843" t="s">
        <v>765</v>
      </c>
      <c r="B106" s="843"/>
      <c r="C106" s="843"/>
      <c r="D106" s="81"/>
      <c r="E106" s="130" t="s">
        <v>766</v>
      </c>
      <c r="F106" s="130" t="s">
        <v>767</v>
      </c>
      <c r="G106" s="788" t="s">
        <v>768</v>
      </c>
      <c r="H106" s="786"/>
      <c r="I106" s="146"/>
      <c r="J106" s="146"/>
      <c r="K106" s="146"/>
      <c r="L106" s="4"/>
      <c r="M106" s="4"/>
      <c r="N106" s="4"/>
      <c r="O106" s="4"/>
      <c r="P106" s="4"/>
      <c r="Q106" s="4"/>
      <c r="R106" s="4"/>
      <c r="S106" s="4"/>
      <c r="T106" s="4"/>
      <c r="U106" s="4"/>
    </row>
    <row r="107" spans="1:21" ht="19.5" customHeight="1">
      <c r="A107" s="788" t="s">
        <v>628</v>
      </c>
      <c r="B107" s="787"/>
      <c r="C107" s="786"/>
      <c r="D107" s="147"/>
      <c r="E107" s="148" t="s">
        <v>629</v>
      </c>
      <c r="F107" s="149" t="s">
        <v>630</v>
      </c>
      <c r="G107" s="150" t="s">
        <v>624</v>
      </c>
      <c r="H107" s="151"/>
      <c r="I107" s="4"/>
      <c r="J107" s="4"/>
      <c r="K107" s="4"/>
      <c r="L107" s="4"/>
      <c r="M107" s="4"/>
      <c r="N107" s="4"/>
      <c r="O107" s="4"/>
      <c r="P107" s="4"/>
      <c r="Q107" s="4"/>
      <c r="R107" s="4"/>
      <c r="S107" s="4"/>
      <c r="T107" s="4"/>
      <c r="U107" s="4"/>
    </row>
    <row r="108" spans="1:21" ht="19.5" customHeight="1">
      <c r="A108" s="851">
        <v>1</v>
      </c>
      <c r="B108" s="852"/>
      <c r="C108" s="853"/>
      <c r="D108" s="152"/>
      <c r="E108" s="148" t="s">
        <v>625</v>
      </c>
      <c r="F108" s="149" t="s">
        <v>807</v>
      </c>
      <c r="G108" s="150" t="s">
        <v>624</v>
      </c>
      <c r="H108" s="151"/>
      <c r="I108" s="4"/>
      <c r="J108" s="4"/>
      <c r="K108" s="4"/>
      <c r="L108" s="4"/>
      <c r="M108" s="4"/>
      <c r="N108" s="4"/>
      <c r="O108" s="4"/>
      <c r="P108" s="4"/>
      <c r="Q108" s="4"/>
      <c r="R108" s="4"/>
      <c r="S108" s="4"/>
      <c r="T108" s="4"/>
      <c r="U108" s="4"/>
    </row>
    <row r="109" spans="1:21" ht="19.5" customHeight="1">
      <c r="A109" s="788" t="s">
        <v>626</v>
      </c>
      <c r="B109" s="787"/>
      <c r="C109" s="786"/>
      <c r="D109" s="147"/>
      <c r="E109" s="148" t="s">
        <v>627</v>
      </c>
      <c r="F109" s="149" t="s">
        <v>6</v>
      </c>
      <c r="G109" s="150" t="s">
        <v>624</v>
      </c>
      <c r="H109" s="151"/>
      <c r="I109" s="4"/>
      <c r="J109" s="4"/>
      <c r="K109" s="4"/>
      <c r="L109" s="4"/>
      <c r="M109" s="4"/>
      <c r="N109" s="4"/>
      <c r="O109" s="4"/>
      <c r="P109" s="4"/>
      <c r="Q109" s="4"/>
      <c r="R109" s="4"/>
      <c r="S109" s="4"/>
      <c r="T109" s="4"/>
      <c r="U109" s="4"/>
    </row>
    <row r="110" spans="1:21" ht="19.5" customHeight="1">
      <c r="A110" s="854">
        <v>42369</v>
      </c>
      <c r="B110" s="855"/>
      <c r="C110" s="856"/>
      <c r="D110" s="153"/>
      <c r="E110" s="148" t="s">
        <v>500</v>
      </c>
      <c r="F110" s="149" t="s">
        <v>6</v>
      </c>
      <c r="G110" s="150" t="s">
        <v>624</v>
      </c>
      <c r="H110" s="151"/>
      <c r="I110" s="4"/>
      <c r="J110" s="4"/>
      <c r="K110" s="4"/>
      <c r="L110" s="4"/>
      <c r="M110" s="4"/>
      <c r="N110" s="4"/>
      <c r="O110" s="4"/>
      <c r="P110" s="4"/>
      <c r="Q110" s="4"/>
      <c r="R110" s="4"/>
      <c r="S110" s="4"/>
      <c r="T110" s="4"/>
      <c r="U110" s="4"/>
    </row>
    <row r="111" spans="1:21" ht="19.5" customHeight="1">
      <c r="A111" s="788" t="s">
        <v>501</v>
      </c>
      <c r="B111" s="787"/>
      <c r="C111" s="786"/>
      <c r="D111" s="147"/>
      <c r="E111" s="148" t="s">
        <v>920</v>
      </c>
      <c r="F111" s="149" t="s">
        <v>921</v>
      </c>
      <c r="G111" s="150" t="s">
        <v>624</v>
      </c>
      <c r="H111" s="151"/>
      <c r="I111" s="4"/>
      <c r="J111" s="4"/>
      <c r="K111" s="4"/>
      <c r="L111" s="4"/>
      <c r="M111" s="4"/>
      <c r="N111" s="4"/>
      <c r="O111" s="4"/>
      <c r="P111" s="4"/>
      <c r="Q111" s="4"/>
      <c r="R111" s="4"/>
      <c r="S111" s="4"/>
      <c r="T111" s="4"/>
      <c r="U111" s="4"/>
    </row>
    <row r="112" spans="1:21" ht="19.5" customHeight="1">
      <c r="A112" s="785">
        <v>42400</v>
      </c>
      <c r="B112" s="780"/>
      <c r="C112" s="781"/>
      <c r="D112" s="153"/>
      <c r="E112" s="148" t="s">
        <v>762</v>
      </c>
      <c r="F112" s="149" t="s">
        <v>55</v>
      </c>
      <c r="G112" s="150" t="s">
        <v>624</v>
      </c>
      <c r="H112" s="151"/>
      <c r="I112" s="4"/>
      <c r="J112" s="4"/>
      <c r="K112" s="4"/>
      <c r="L112" s="4"/>
      <c r="M112" s="4"/>
      <c r="N112" s="4"/>
      <c r="O112" s="4"/>
      <c r="P112" s="4"/>
      <c r="Q112" s="4"/>
      <c r="R112" s="4"/>
      <c r="S112" s="4"/>
      <c r="T112" s="4"/>
      <c r="U112" s="4"/>
    </row>
    <row r="113" spans="1:21" ht="19.5" customHeight="1">
      <c r="A113" s="788" t="s">
        <v>0</v>
      </c>
      <c r="B113" s="787"/>
      <c r="C113" s="786"/>
      <c r="D113" s="154"/>
      <c r="E113" s="4"/>
      <c r="F113" s="155"/>
      <c r="G113" s="155"/>
      <c r="H113" s="4"/>
      <c r="I113" s="4"/>
      <c r="J113" s="4"/>
      <c r="K113" s="4"/>
      <c r="L113" s="4"/>
      <c r="M113" s="4"/>
      <c r="N113" s="4"/>
      <c r="O113" s="4"/>
      <c r="P113" s="4"/>
      <c r="Q113" s="4"/>
      <c r="R113" s="4"/>
      <c r="S113" s="4"/>
      <c r="T113" s="4"/>
      <c r="U113" s="4"/>
    </row>
    <row r="114" spans="1:21" ht="19.5" customHeight="1">
      <c r="A114" s="785">
        <v>42429</v>
      </c>
      <c r="B114" s="780"/>
      <c r="C114" s="781"/>
      <c r="D114" s="66"/>
      <c r="E114" s="4"/>
      <c r="F114" s="155"/>
      <c r="G114" s="155"/>
      <c r="H114" s="4"/>
      <c r="I114" s="4"/>
      <c r="J114" s="4"/>
      <c r="K114" s="4"/>
      <c r="L114" s="4"/>
      <c r="M114" s="4"/>
      <c r="N114" s="4"/>
      <c r="O114" s="4"/>
      <c r="P114" s="4"/>
      <c r="Q114" s="4"/>
      <c r="R114" s="4"/>
      <c r="S114" s="4"/>
      <c r="T114" s="4"/>
      <c r="U114" s="4"/>
    </row>
    <row r="115" spans="1:21" ht="19.5" customHeight="1">
      <c r="A115" s="788" t="s">
        <v>1</v>
      </c>
      <c r="B115" s="787"/>
      <c r="C115" s="786"/>
      <c r="D115" s="155"/>
      <c r="E115" s="155"/>
      <c r="F115" s="155"/>
      <c r="G115" s="156"/>
      <c r="H115" s="4"/>
      <c r="I115" s="4"/>
      <c r="J115" s="4"/>
      <c r="K115" s="4"/>
      <c r="L115" s="4"/>
      <c r="M115" s="4"/>
      <c r="N115" s="4"/>
      <c r="O115" s="4"/>
      <c r="P115" s="4"/>
      <c r="Q115" s="4"/>
      <c r="R115" s="4"/>
      <c r="S115" s="4"/>
      <c r="T115" s="4"/>
      <c r="U115" s="4"/>
    </row>
    <row r="116" spans="1:21" ht="19.5" customHeight="1">
      <c r="A116" s="785">
        <v>42460</v>
      </c>
      <c r="B116" s="780"/>
      <c r="C116" s="781"/>
      <c r="D116" s="155"/>
      <c r="E116" s="4"/>
      <c r="F116" s="4"/>
      <c r="G116" s="4"/>
      <c r="H116" s="4"/>
      <c r="I116" s="4"/>
      <c r="J116" s="4"/>
      <c r="K116" s="4"/>
      <c r="L116" s="4"/>
      <c r="M116" s="4"/>
      <c r="N116" s="4"/>
      <c r="O116" s="4"/>
      <c r="P116" s="4"/>
      <c r="Q116" s="4"/>
      <c r="R116" s="4"/>
      <c r="S116" s="4"/>
      <c r="T116" s="4"/>
      <c r="U116" s="4"/>
    </row>
    <row r="117" spans="1:21" ht="19.5" customHeight="1">
      <c r="A117" s="857" t="s">
        <v>926</v>
      </c>
      <c r="B117" s="858"/>
      <c r="C117" s="859"/>
      <c r="D117" s="4"/>
      <c r="E117" s="4"/>
      <c r="F117" s="4"/>
      <c r="G117" s="4"/>
      <c r="H117" s="4"/>
      <c r="I117" s="4"/>
      <c r="J117" s="4"/>
      <c r="K117" s="4"/>
      <c r="L117" s="4"/>
      <c r="M117" s="4"/>
      <c r="N117" s="4"/>
      <c r="O117" s="4"/>
      <c r="P117" s="4"/>
      <c r="Q117" s="4"/>
      <c r="R117" s="4"/>
      <c r="S117" s="4"/>
      <c r="T117" s="4"/>
      <c r="U117" s="4"/>
    </row>
    <row r="118" spans="1:21" ht="19.5" customHeight="1">
      <c r="A118" s="844" t="s">
        <v>927</v>
      </c>
      <c r="B118" s="845"/>
      <c r="C118" s="846"/>
      <c r="D118" s="4"/>
      <c r="E118" s="4"/>
      <c r="F118" s="4"/>
      <c r="G118" s="4"/>
      <c r="H118" s="4"/>
      <c r="I118" s="4"/>
      <c r="J118" s="4"/>
      <c r="K118" s="4"/>
      <c r="L118" s="4"/>
      <c r="M118" s="4"/>
      <c r="N118" s="4"/>
      <c r="O118" s="4"/>
      <c r="P118" s="4"/>
      <c r="Q118" s="4"/>
      <c r="R118" s="4"/>
      <c r="S118" s="4"/>
      <c r="T118" s="4"/>
      <c r="U118" s="4"/>
    </row>
    <row r="119" spans="1:21" ht="19.5" customHeight="1">
      <c r="A119" s="847"/>
      <c r="B119" s="848"/>
      <c r="C119" s="849"/>
      <c r="D119" s="4"/>
      <c r="E119" s="4"/>
      <c r="F119" s="4"/>
      <c r="G119" s="4"/>
      <c r="H119" s="4"/>
      <c r="I119" s="4"/>
      <c r="J119" s="4"/>
      <c r="K119" s="4"/>
      <c r="L119" s="4"/>
      <c r="M119" s="4"/>
      <c r="N119" s="4"/>
      <c r="O119" s="4"/>
      <c r="P119" s="4"/>
      <c r="Q119" s="4"/>
      <c r="R119" s="4"/>
      <c r="S119" s="4"/>
      <c r="T119" s="4"/>
      <c r="U119" s="4"/>
    </row>
    <row r="120" spans="1:21" ht="19.5" customHeight="1">
      <c r="A120" s="850" t="s">
        <v>928</v>
      </c>
      <c r="B120" s="850"/>
      <c r="C120" s="850"/>
      <c r="D120" s="4"/>
      <c r="E120" s="4"/>
      <c r="F120" s="4"/>
      <c r="G120" s="4"/>
      <c r="H120" s="4"/>
      <c r="I120" s="4"/>
      <c r="J120" s="4"/>
      <c r="K120" s="4"/>
      <c r="L120" s="4"/>
      <c r="M120" s="4"/>
      <c r="N120" s="4"/>
      <c r="O120" s="4"/>
      <c r="P120" s="4"/>
      <c r="Q120" s="4"/>
      <c r="R120" s="4"/>
      <c r="S120" s="4"/>
      <c r="T120" s="4"/>
      <c r="U120" s="4"/>
    </row>
    <row r="121" spans="1:21" ht="19.5" customHeight="1">
      <c r="A121" s="840">
        <f>評価時点</f>
        <v>37380</v>
      </c>
      <c r="B121" s="841"/>
      <c r="C121" s="842"/>
      <c r="D121" s="4"/>
      <c r="E121" s="4"/>
      <c r="F121" s="4"/>
      <c r="G121" s="4"/>
      <c r="H121" s="4"/>
      <c r="I121" s="4"/>
      <c r="J121" s="4"/>
      <c r="K121" s="4"/>
      <c r="L121" s="4"/>
      <c r="M121" s="4"/>
      <c r="N121" s="4"/>
      <c r="O121" s="4"/>
      <c r="P121" s="4"/>
      <c r="Q121" s="4"/>
      <c r="R121" s="4"/>
      <c r="S121" s="4"/>
      <c r="T121" s="4"/>
      <c r="U121" s="4"/>
    </row>
    <row r="122" spans="1:21" ht="18" customHeight="1">
      <c r="A122" s="159"/>
      <c r="B122" s="159"/>
      <c r="C122" s="159"/>
      <c r="D122" s="4"/>
      <c r="E122" s="4"/>
      <c r="F122" s="4"/>
      <c r="G122" s="4"/>
      <c r="H122" s="4"/>
      <c r="I122" s="4"/>
      <c r="J122" s="4"/>
      <c r="K122" s="4"/>
      <c r="L122" s="4"/>
      <c r="M122" s="4"/>
      <c r="N122" s="4"/>
      <c r="O122" s="4"/>
      <c r="P122" s="4"/>
      <c r="Q122" s="4"/>
      <c r="R122" s="4"/>
      <c r="S122" s="4"/>
      <c r="T122" s="4"/>
      <c r="U122" s="4"/>
    </row>
    <row r="123" spans="1:21" ht="18" customHeight="1">
      <c r="A123" s="48" t="s">
        <v>929</v>
      </c>
      <c r="B123" s="48" t="str">
        <f>IF(B4&gt;0," - "&amp;B4," ")</f>
        <v> </v>
      </c>
      <c r="C123" s="159"/>
      <c r="D123" s="4"/>
      <c r="E123" s="4"/>
      <c r="F123" s="4"/>
      <c r="G123" s="4"/>
      <c r="H123" s="4"/>
      <c r="I123" s="4"/>
      <c r="J123" s="4"/>
      <c r="K123" s="4"/>
      <c r="L123" s="4"/>
      <c r="M123" s="4"/>
      <c r="N123" s="4"/>
      <c r="O123" s="4"/>
      <c r="P123" s="4"/>
      <c r="Q123" s="4"/>
      <c r="R123" s="4"/>
      <c r="S123" s="4"/>
      <c r="T123" s="4"/>
      <c r="U123" s="4"/>
    </row>
    <row r="124" spans="1:21" ht="18" customHeight="1">
      <c r="A124" s="4"/>
      <c r="B124" s="4"/>
      <c r="C124" s="4"/>
      <c r="D124" s="4"/>
      <c r="E124" s="4"/>
      <c r="F124" s="4"/>
      <c r="G124" s="4"/>
      <c r="H124" s="4"/>
      <c r="I124" s="4"/>
      <c r="J124" s="4"/>
      <c r="K124" s="4"/>
      <c r="L124" s="4"/>
      <c r="M124" s="4"/>
      <c r="N124" s="4"/>
      <c r="O124" s="4"/>
      <c r="P124" s="4"/>
      <c r="Q124" s="4"/>
      <c r="R124" s="4"/>
      <c r="S124" s="4"/>
      <c r="T124" s="4"/>
      <c r="U124" s="4"/>
    </row>
    <row r="125" spans="1:21" ht="18" customHeight="1">
      <c r="A125" s="4" t="s">
        <v>930</v>
      </c>
      <c r="B125" s="4"/>
      <c r="C125" s="4"/>
      <c r="D125" s="4"/>
      <c r="E125" s="4"/>
      <c r="F125" s="4"/>
      <c r="G125" s="4"/>
      <c r="H125" s="4"/>
      <c r="I125" s="4"/>
      <c r="J125" s="4"/>
      <c r="K125" s="4"/>
      <c r="L125" s="4"/>
      <c r="M125" s="4"/>
      <c r="N125" s="4"/>
      <c r="O125" s="4"/>
      <c r="P125" s="4"/>
      <c r="Q125" s="4"/>
      <c r="R125" s="4"/>
      <c r="S125" s="4"/>
      <c r="T125" s="4"/>
      <c r="U125" s="4"/>
    </row>
    <row r="126" spans="1:21" ht="18" customHeight="1">
      <c r="A126" s="48" t="s">
        <v>301</v>
      </c>
      <c r="B126" s="44">
        <f aca="true" t="shared" si="2" ref="B126:D128">B6</f>
        <v>1</v>
      </c>
      <c r="C126" s="44" t="str">
        <f t="shared" si="2"/>
        <v>～</v>
      </c>
      <c r="D126" s="44">
        <f t="shared" si="2"/>
        <v>0</v>
      </c>
      <c r="E126" s="44" t="str">
        <f>B126&amp;C126&amp;D126</f>
        <v>1～0</v>
      </c>
      <c r="F126" s="44">
        <f>IF(D6&gt;0,E126,B126)</f>
        <v>1</v>
      </c>
      <c r="G126" s="4"/>
      <c r="H126" s="4"/>
      <c r="I126" s="4"/>
      <c r="J126" s="4"/>
      <c r="K126" s="4"/>
      <c r="L126" s="4"/>
      <c r="M126" s="4"/>
      <c r="N126" s="4"/>
      <c r="O126" s="4"/>
      <c r="P126" s="4"/>
      <c r="Q126" s="4"/>
      <c r="R126" s="4"/>
      <c r="S126" s="4"/>
      <c r="T126" s="4"/>
      <c r="U126" s="4"/>
    </row>
    <row r="127" spans="1:21" ht="18" customHeight="1">
      <c r="A127" s="48" t="s">
        <v>931</v>
      </c>
      <c r="B127" s="44">
        <f t="shared" si="2"/>
        <v>2</v>
      </c>
      <c r="C127" s="44" t="str">
        <f t="shared" si="2"/>
        <v>～</v>
      </c>
      <c r="D127" s="44">
        <f t="shared" si="2"/>
        <v>0</v>
      </c>
      <c r="E127" s="44" t="str">
        <f>B127&amp;C127&amp;D127</f>
        <v>2～0</v>
      </c>
      <c r="F127" s="44">
        <f>IF(D7&gt;0,E127,B127)</f>
        <v>2</v>
      </c>
      <c r="G127" s="4"/>
      <c r="H127" s="4"/>
      <c r="I127" s="4"/>
      <c r="J127" s="4"/>
      <c r="K127" s="4"/>
      <c r="L127" s="4"/>
      <c r="M127" s="4"/>
      <c r="N127" s="4"/>
      <c r="O127" s="4"/>
      <c r="P127" s="4"/>
      <c r="Q127" s="4"/>
      <c r="R127" s="4"/>
      <c r="S127" s="4"/>
      <c r="T127" s="4"/>
      <c r="U127" s="4"/>
    </row>
    <row r="128" spans="1:21" ht="18" customHeight="1">
      <c r="A128" s="48" t="s">
        <v>806</v>
      </c>
      <c r="B128" s="44">
        <f t="shared" si="2"/>
        <v>1</v>
      </c>
      <c r="C128" s="44" t="str">
        <f t="shared" si="2"/>
        <v>～</v>
      </c>
      <c r="D128" s="44">
        <f t="shared" si="2"/>
        <v>2</v>
      </c>
      <c r="E128" s="44" t="str">
        <f>B128&amp;C128&amp;D128</f>
        <v>1～2</v>
      </c>
      <c r="F128" s="44" t="str">
        <f>IF(D8&gt;0,E128,B128)</f>
        <v>1～2</v>
      </c>
      <c r="G128" s="4"/>
      <c r="H128" s="4"/>
      <c r="I128" s="4"/>
      <c r="J128" s="4"/>
      <c r="K128" s="4"/>
      <c r="L128" s="4"/>
      <c r="M128" s="4"/>
      <c r="N128" s="4"/>
      <c r="O128" s="4"/>
      <c r="P128" s="4"/>
      <c r="Q128" s="4"/>
      <c r="R128" s="4"/>
      <c r="S128" s="4"/>
      <c r="T128" s="4"/>
      <c r="U128" s="4"/>
    </row>
    <row r="129" spans="1:21" ht="18" customHeight="1">
      <c r="A129" s="4"/>
      <c r="B129" s="4"/>
      <c r="C129" s="4"/>
      <c r="D129" s="4"/>
      <c r="E129" s="4"/>
      <c r="F129" s="4"/>
      <c r="G129" s="4"/>
      <c r="H129" s="4"/>
      <c r="I129" s="4"/>
      <c r="J129" s="4"/>
      <c r="K129" s="4"/>
      <c r="L129" s="4"/>
      <c r="M129" s="4"/>
      <c r="N129" s="4"/>
      <c r="O129" s="4"/>
      <c r="P129" s="4"/>
      <c r="Q129" s="4"/>
      <c r="R129" s="4"/>
      <c r="S129" s="4"/>
      <c r="T129" s="4"/>
      <c r="U129" s="4"/>
    </row>
    <row r="130" spans="1:21" ht="18" customHeight="1">
      <c r="A130" s="4"/>
      <c r="B130" s="4"/>
      <c r="C130" s="4"/>
      <c r="D130" s="4"/>
      <c r="E130" s="4"/>
      <c r="F130" s="4"/>
      <c r="G130" s="4"/>
      <c r="H130" s="4"/>
      <c r="I130" s="4"/>
      <c r="J130" s="4"/>
      <c r="K130" s="4"/>
      <c r="L130" s="4"/>
      <c r="M130" s="4"/>
      <c r="N130" s="4"/>
      <c r="O130" s="4"/>
      <c r="P130" s="4"/>
      <c r="Q130" s="4"/>
      <c r="R130" s="4"/>
      <c r="S130" s="4"/>
      <c r="T130" s="4"/>
      <c r="U130" s="4"/>
    </row>
    <row r="131" spans="1:21" ht="18" customHeight="1">
      <c r="A131" s="4"/>
      <c r="B131" s="4"/>
      <c r="C131" s="4"/>
      <c r="D131" s="4"/>
      <c r="E131" s="4"/>
      <c r="F131" s="4"/>
      <c r="G131" s="4"/>
      <c r="H131" s="4"/>
      <c r="I131" s="4"/>
      <c r="J131" s="4"/>
      <c r="K131" s="4"/>
      <c r="L131" s="4"/>
      <c r="M131" s="4"/>
      <c r="N131" s="4"/>
      <c r="O131" s="4"/>
      <c r="P131" s="4"/>
      <c r="Q131" s="4"/>
      <c r="R131" s="4"/>
      <c r="S131" s="4"/>
      <c r="T131" s="4"/>
      <c r="U131" s="4"/>
    </row>
    <row r="132" spans="1:21" ht="18" customHeight="1">
      <c r="A132" s="4"/>
      <c r="B132" s="4"/>
      <c r="C132" s="4"/>
      <c r="D132" s="4"/>
      <c r="E132" s="4"/>
      <c r="F132" s="4"/>
      <c r="G132" s="4"/>
      <c r="H132" s="4"/>
      <c r="I132" s="4"/>
      <c r="J132" s="4"/>
      <c r="K132" s="4"/>
      <c r="L132" s="4"/>
      <c r="M132" s="4"/>
      <c r="N132" s="4"/>
      <c r="O132" s="4"/>
      <c r="P132" s="4"/>
      <c r="Q132" s="4"/>
      <c r="R132" s="4"/>
      <c r="S132" s="4"/>
      <c r="T132" s="4"/>
      <c r="U132" s="4"/>
    </row>
    <row r="133" spans="1:21" ht="18" customHeight="1">
      <c r="A133" s="4"/>
      <c r="B133" s="4"/>
      <c r="C133" s="4"/>
      <c r="D133" s="4"/>
      <c r="E133" s="4"/>
      <c r="F133" s="4"/>
      <c r="G133" s="4"/>
      <c r="H133" s="4"/>
      <c r="I133" s="4"/>
      <c r="J133" s="4"/>
      <c r="K133" s="4"/>
      <c r="L133" s="4"/>
      <c r="M133" s="4"/>
      <c r="N133" s="4"/>
      <c r="O133" s="4"/>
      <c r="P133" s="4"/>
      <c r="Q133" s="4"/>
      <c r="R133" s="4"/>
      <c r="S133" s="4"/>
      <c r="T133" s="4"/>
      <c r="U133" s="4"/>
    </row>
    <row r="134" spans="1:21" ht="18" customHeight="1">
      <c r="A134" s="4"/>
      <c r="B134" s="4"/>
      <c r="C134" s="4"/>
      <c r="D134" s="4"/>
      <c r="E134" s="4"/>
      <c r="F134" s="4"/>
      <c r="G134" s="4"/>
      <c r="H134" s="4"/>
      <c r="I134" s="4"/>
      <c r="J134" s="4"/>
      <c r="K134" s="4"/>
      <c r="L134" s="4"/>
      <c r="M134" s="4"/>
      <c r="N134" s="4"/>
      <c r="O134" s="4"/>
      <c r="P134" s="4"/>
      <c r="Q134" s="4"/>
      <c r="R134" s="4"/>
      <c r="S134" s="4"/>
      <c r="T134" s="4"/>
      <c r="U134" s="4"/>
    </row>
    <row r="135" spans="1:21" ht="18" customHeight="1">
      <c r="A135" s="4"/>
      <c r="B135" s="4"/>
      <c r="C135" s="4"/>
      <c r="D135" s="4"/>
      <c r="E135" s="4"/>
      <c r="F135" s="4"/>
      <c r="G135" s="4"/>
      <c r="H135" s="4"/>
      <c r="I135" s="4"/>
      <c r="J135" s="4"/>
      <c r="K135" s="4"/>
      <c r="L135" s="4"/>
      <c r="M135" s="4"/>
      <c r="N135" s="4"/>
      <c r="O135" s="4"/>
      <c r="P135" s="4"/>
      <c r="Q135" s="4"/>
      <c r="R135" s="4"/>
      <c r="S135" s="4"/>
      <c r="T135" s="4"/>
      <c r="U135" s="4"/>
    </row>
    <row r="136" spans="1:21" ht="18" customHeight="1">
      <c r="A136" s="4"/>
      <c r="B136" s="4"/>
      <c r="C136" s="4"/>
      <c r="D136" s="4"/>
      <c r="E136" s="4"/>
      <c r="F136" s="4"/>
      <c r="G136" s="4"/>
      <c r="H136" s="4"/>
      <c r="I136" s="4"/>
      <c r="J136" s="4"/>
      <c r="K136" s="4"/>
      <c r="L136" s="4"/>
      <c r="M136" s="4"/>
      <c r="N136" s="4"/>
      <c r="O136" s="4"/>
      <c r="P136" s="4"/>
      <c r="Q136" s="4"/>
      <c r="R136" s="4"/>
      <c r="S136" s="4"/>
      <c r="T136" s="4"/>
      <c r="U136" s="4"/>
    </row>
    <row r="137" spans="1:21" ht="18" customHeight="1">
      <c r="A137" s="4"/>
      <c r="B137" s="4"/>
      <c r="C137" s="4"/>
      <c r="D137" s="4"/>
      <c r="E137" s="4"/>
      <c r="F137" s="4"/>
      <c r="G137" s="4"/>
      <c r="H137" s="4"/>
      <c r="I137" s="4"/>
      <c r="J137" s="4"/>
      <c r="K137" s="4"/>
      <c r="L137" s="4"/>
      <c r="M137" s="4"/>
      <c r="N137" s="4"/>
      <c r="O137" s="4"/>
      <c r="P137" s="4"/>
      <c r="Q137" s="4"/>
      <c r="R137" s="4"/>
      <c r="S137" s="4"/>
      <c r="T137" s="4"/>
      <c r="U137" s="4"/>
    </row>
    <row r="138" spans="1:21" ht="12">
      <c r="A138" s="4"/>
      <c r="B138" s="4"/>
      <c r="C138" s="4"/>
      <c r="D138" s="4"/>
      <c r="E138" s="4"/>
      <c r="F138" s="4"/>
      <c r="G138" s="4"/>
      <c r="H138" s="4"/>
      <c r="I138" s="4"/>
      <c r="J138" s="4"/>
      <c r="K138" s="4"/>
      <c r="L138" s="4"/>
      <c r="M138" s="4"/>
      <c r="N138" s="4"/>
      <c r="O138" s="4"/>
      <c r="P138" s="4"/>
      <c r="Q138" s="4"/>
      <c r="R138" s="4"/>
      <c r="S138" s="4"/>
      <c r="T138" s="4"/>
      <c r="U138" s="4"/>
    </row>
    <row r="139" spans="1:21" ht="12">
      <c r="A139" s="4"/>
      <c r="B139" s="4"/>
      <c r="C139" s="4"/>
      <c r="D139" s="4"/>
      <c r="E139" s="4"/>
      <c r="F139" s="4"/>
      <c r="G139" s="4"/>
      <c r="H139" s="4"/>
      <c r="I139" s="4"/>
      <c r="J139" s="4"/>
      <c r="K139" s="4"/>
      <c r="L139" s="4"/>
      <c r="M139" s="4"/>
      <c r="N139" s="4"/>
      <c r="O139" s="4"/>
      <c r="P139" s="4"/>
      <c r="Q139" s="4"/>
      <c r="R139" s="4"/>
      <c r="S139" s="4"/>
      <c r="T139" s="4"/>
      <c r="U139" s="4"/>
    </row>
    <row r="140" spans="1:21" ht="12">
      <c r="A140" s="4"/>
      <c r="B140" s="4"/>
      <c r="C140" s="4"/>
      <c r="D140" s="4"/>
      <c r="E140" s="4"/>
      <c r="F140" s="4"/>
      <c r="G140" s="4"/>
      <c r="H140" s="4"/>
      <c r="I140" s="4"/>
      <c r="J140" s="4"/>
      <c r="K140" s="4"/>
      <c r="L140" s="4"/>
      <c r="M140" s="4"/>
      <c r="N140" s="4"/>
      <c r="O140" s="4"/>
      <c r="P140" s="4"/>
      <c r="Q140" s="4"/>
      <c r="R140" s="4"/>
      <c r="S140" s="4"/>
      <c r="T140" s="4"/>
      <c r="U140" s="4"/>
    </row>
    <row r="141" spans="1:21" ht="12">
      <c r="A141" s="4"/>
      <c r="B141" s="4"/>
      <c r="C141" s="4"/>
      <c r="D141" s="4"/>
      <c r="E141" s="4"/>
      <c r="F141" s="4"/>
      <c r="G141" s="4"/>
      <c r="H141" s="4"/>
      <c r="I141" s="4"/>
      <c r="J141" s="4"/>
      <c r="K141" s="4"/>
      <c r="L141" s="4"/>
      <c r="M141" s="4"/>
      <c r="N141" s="4"/>
      <c r="O141" s="4"/>
      <c r="P141" s="4"/>
      <c r="Q141" s="4"/>
      <c r="R141" s="4"/>
      <c r="S141" s="4"/>
      <c r="T141" s="4"/>
      <c r="U141" s="4"/>
    </row>
    <row r="142" spans="1:21" ht="12">
      <c r="A142" s="4"/>
      <c r="B142" s="4"/>
      <c r="C142" s="4"/>
      <c r="D142" s="4"/>
      <c r="E142" s="4"/>
      <c r="F142" s="4"/>
      <c r="G142" s="4"/>
      <c r="H142" s="4"/>
      <c r="I142" s="4"/>
      <c r="J142" s="4"/>
      <c r="K142" s="4"/>
      <c r="L142" s="4"/>
      <c r="M142" s="4"/>
      <c r="N142" s="4"/>
      <c r="O142" s="4"/>
      <c r="P142" s="4"/>
      <c r="Q142" s="4"/>
      <c r="R142" s="4"/>
      <c r="S142" s="4"/>
      <c r="T142" s="4"/>
      <c r="U142" s="4"/>
    </row>
    <row r="143" spans="1:21" ht="12">
      <c r="A143" s="4"/>
      <c r="B143" s="4"/>
      <c r="C143" s="4"/>
      <c r="D143" s="4"/>
      <c r="E143" s="4"/>
      <c r="F143" s="4"/>
      <c r="G143" s="4"/>
      <c r="H143" s="4"/>
      <c r="I143" s="4"/>
      <c r="J143" s="4"/>
      <c r="K143" s="4"/>
      <c r="L143" s="4"/>
      <c r="M143" s="4"/>
      <c r="N143" s="4"/>
      <c r="O143" s="4"/>
      <c r="P143" s="4"/>
      <c r="Q143" s="4"/>
      <c r="R143" s="4"/>
      <c r="S143" s="4"/>
      <c r="T143" s="4"/>
      <c r="U143" s="4"/>
    </row>
    <row r="144" spans="1:21" ht="12">
      <c r="A144" s="4"/>
      <c r="B144" s="4"/>
      <c r="C144" s="4"/>
      <c r="D144" s="4"/>
      <c r="E144" s="4"/>
      <c r="F144" s="4"/>
      <c r="G144" s="4"/>
      <c r="H144" s="4"/>
      <c r="I144" s="4"/>
      <c r="J144" s="4"/>
      <c r="K144" s="4"/>
      <c r="L144" s="4"/>
      <c r="M144" s="4"/>
      <c r="N144" s="4"/>
      <c r="O144" s="4"/>
      <c r="P144" s="4"/>
      <c r="Q144" s="4"/>
      <c r="R144" s="4"/>
      <c r="S144" s="4"/>
      <c r="T144" s="4"/>
      <c r="U144" s="4"/>
    </row>
    <row r="145" spans="1:21" ht="12">
      <c r="A145" s="4"/>
      <c r="B145" s="4"/>
      <c r="C145" s="4"/>
      <c r="D145" s="4"/>
      <c r="E145" s="4"/>
      <c r="F145" s="4"/>
      <c r="G145" s="4"/>
      <c r="H145" s="4"/>
      <c r="I145" s="4"/>
      <c r="J145" s="4"/>
      <c r="K145" s="4"/>
      <c r="L145" s="4"/>
      <c r="M145" s="4"/>
      <c r="N145" s="4"/>
      <c r="O145" s="4"/>
      <c r="P145" s="4"/>
      <c r="Q145" s="4"/>
      <c r="R145" s="4"/>
      <c r="S145" s="4"/>
      <c r="T145" s="4"/>
      <c r="U145" s="4"/>
    </row>
    <row r="146" spans="1:21" ht="12">
      <c r="A146" s="4"/>
      <c r="B146" s="4"/>
      <c r="C146" s="4"/>
      <c r="D146" s="4"/>
      <c r="E146" s="4"/>
      <c r="F146" s="4"/>
      <c r="G146" s="4"/>
      <c r="H146" s="4"/>
      <c r="I146" s="4"/>
      <c r="J146" s="4"/>
      <c r="K146" s="4"/>
      <c r="L146" s="4"/>
      <c r="M146" s="4"/>
      <c r="N146" s="4"/>
      <c r="O146" s="4"/>
      <c r="P146" s="4"/>
      <c r="Q146" s="4"/>
      <c r="R146" s="4"/>
      <c r="S146" s="4"/>
      <c r="T146" s="4"/>
      <c r="U146" s="4"/>
    </row>
    <row r="147" spans="1:21" ht="12">
      <c r="A147" s="4"/>
      <c r="B147" s="4"/>
      <c r="C147" s="4"/>
      <c r="D147" s="4"/>
      <c r="E147" s="4"/>
      <c r="F147" s="4"/>
      <c r="G147" s="4"/>
      <c r="H147" s="4"/>
      <c r="I147" s="4"/>
      <c r="J147" s="4"/>
      <c r="K147" s="4"/>
      <c r="L147" s="4"/>
      <c r="M147" s="4"/>
      <c r="N147" s="4"/>
      <c r="O147" s="4"/>
      <c r="P147" s="4"/>
      <c r="Q147" s="4"/>
      <c r="R147" s="4"/>
      <c r="S147" s="4"/>
      <c r="T147" s="4"/>
      <c r="U147" s="4"/>
    </row>
    <row r="148" spans="1:21" ht="12">
      <c r="A148" s="4"/>
      <c r="B148" s="4"/>
      <c r="C148" s="4"/>
      <c r="D148" s="4"/>
      <c r="E148" s="4"/>
      <c r="F148" s="4"/>
      <c r="G148" s="4"/>
      <c r="H148" s="4"/>
      <c r="I148" s="4"/>
      <c r="J148" s="4"/>
      <c r="K148" s="4"/>
      <c r="L148" s="4"/>
      <c r="M148" s="4"/>
      <c r="N148" s="4"/>
      <c r="O148" s="4"/>
      <c r="P148" s="4"/>
      <c r="Q148" s="4"/>
      <c r="R148" s="4"/>
      <c r="S148" s="4"/>
      <c r="T148" s="4"/>
      <c r="U148" s="4"/>
    </row>
    <row r="149" spans="1:21" ht="12">
      <c r="A149" s="4"/>
      <c r="B149" s="4"/>
      <c r="C149" s="4"/>
      <c r="D149" s="4"/>
      <c r="E149" s="4"/>
      <c r="F149" s="4"/>
      <c r="G149" s="4"/>
      <c r="H149" s="4"/>
      <c r="I149" s="4"/>
      <c r="J149" s="4"/>
      <c r="K149" s="4"/>
      <c r="L149" s="4"/>
      <c r="M149" s="4"/>
      <c r="N149" s="4"/>
      <c r="O149" s="4"/>
      <c r="P149" s="4"/>
      <c r="Q149" s="4"/>
      <c r="R149" s="4"/>
      <c r="S149" s="4"/>
      <c r="T149" s="4"/>
      <c r="U149" s="4"/>
    </row>
    <row r="150" spans="1:21" ht="12">
      <c r="A150" s="4"/>
      <c r="B150" s="4"/>
      <c r="C150" s="4"/>
      <c r="D150" s="4"/>
      <c r="E150" s="4"/>
      <c r="F150" s="4"/>
      <c r="G150" s="4"/>
      <c r="H150" s="4"/>
      <c r="I150" s="4"/>
      <c r="J150" s="4"/>
      <c r="K150" s="4"/>
      <c r="L150" s="4"/>
      <c r="M150" s="4"/>
      <c r="N150" s="4"/>
      <c r="O150" s="4"/>
      <c r="P150" s="4"/>
      <c r="Q150" s="4"/>
      <c r="R150" s="4"/>
      <c r="S150" s="4"/>
      <c r="T150" s="4"/>
      <c r="U150" s="4"/>
    </row>
    <row r="151" spans="1:21" ht="12">
      <c r="A151" s="4"/>
      <c r="B151" s="4"/>
      <c r="C151" s="4"/>
      <c r="D151" s="4"/>
      <c r="E151" s="4"/>
      <c r="F151" s="4"/>
      <c r="G151" s="4"/>
      <c r="H151" s="4"/>
      <c r="I151" s="4"/>
      <c r="J151" s="4"/>
      <c r="K151" s="4"/>
      <c r="L151" s="4"/>
      <c r="M151" s="4"/>
      <c r="N151" s="4"/>
      <c r="O151" s="4"/>
      <c r="P151" s="4"/>
      <c r="Q151" s="4"/>
      <c r="R151" s="4"/>
      <c r="S151" s="4"/>
      <c r="T151" s="4"/>
      <c r="U151" s="4"/>
    </row>
    <row r="152" spans="1:21" ht="12">
      <c r="A152" s="4"/>
      <c r="B152" s="4"/>
      <c r="C152" s="4"/>
      <c r="D152" s="4"/>
      <c r="E152" s="4"/>
      <c r="F152" s="4"/>
      <c r="G152" s="4"/>
      <c r="H152" s="4"/>
      <c r="I152" s="4"/>
      <c r="J152" s="4"/>
      <c r="K152" s="4"/>
      <c r="L152" s="4"/>
      <c r="M152" s="4"/>
      <c r="N152" s="4"/>
      <c r="O152" s="4"/>
      <c r="P152" s="4"/>
      <c r="Q152" s="4"/>
      <c r="R152" s="4"/>
      <c r="S152" s="4"/>
      <c r="T152" s="4"/>
      <c r="U152" s="4"/>
    </row>
    <row r="153" spans="1:21" ht="12">
      <c r="A153" s="4"/>
      <c r="B153" s="4"/>
      <c r="C153" s="4"/>
      <c r="D153" s="4"/>
      <c r="E153" s="4"/>
      <c r="F153" s="4"/>
      <c r="G153" s="4"/>
      <c r="H153" s="4"/>
      <c r="I153" s="4"/>
      <c r="J153" s="4"/>
      <c r="K153" s="4"/>
      <c r="L153" s="4"/>
      <c r="M153" s="4"/>
      <c r="N153" s="4"/>
      <c r="O153" s="4"/>
      <c r="P153" s="4"/>
      <c r="Q153" s="4"/>
      <c r="R153" s="4"/>
      <c r="S153" s="4"/>
      <c r="T153" s="4"/>
      <c r="U153" s="4"/>
    </row>
    <row r="154" spans="1:21" ht="12">
      <c r="A154" s="4"/>
      <c r="B154" s="4"/>
      <c r="C154" s="4"/>
      <c r="D154" s="4"/>
      <c r="E154" s="4"/>
      <c r="F154" s="4"/>
      <c r="G154" s="4"/>
      <c r="H154" s="4"/>
      <c r="I154" s="4"/>
      <c r="J154" s="4"/>
      <c r="K154" s="4"/>
      <c r="L154" s="4"/>
      <c r="M154" s="4"/>
      <c r="N154" s="4"/>
      <c r="O154" s="4"/>
      <c r="P154" s="4"/>
      <c r="Q154" s="4"/>
      <c r="R154" s="4"/>
      <c r="S154" s="4"/>
      <c r="T154" s="4"/>
      <c r="U154" s="4"/>
    </row>
    <row r="155" spans="1:21" ht="12">
      <c r="A155" s="4"/>
      <c r="B155" s="4"/>
      <c r="C155" s="4"/>
      <c r="D155" s="4"/>
      <c r="E155" s="4"/>
      <c r="F155" s="4"/>
      <c r="G155" s="4"/>
      <c r="H155" s="4"/>
      <c r="I155" s="4"/>
      <c r="J155" s="4"/>
      <c r="K155" s="4"/>
      <c r="L155" s="4"/>
      <c r="M155" s="4"/>
      <c r="N155" s="4"/>
      <c r="O155" s="4"/>
      <c r="P155" s="4"/>
      <c r="Q155" s="4"/>
      <c r="R155" s="4"/>
      <c r="S155" s="4"/>
      <c r="T155" s="4"/>
      <c r="U155" s="4"/>
    </row>
    <row r="156" spans="1:21" ht="12">
      <c r="A156" s="4"/>
      <c r="B156" s="4"/>
      <c r="C156" s="4"/>
      <c r="D156" s="4"/>
      <c r="E156" s="4"/>
      <c r="F156" s="4"/>
      <c r="G156" s="4"/>
      <c r="H156" s="4"/>
      <c r="I156" s="4"/>
      <c r="J156" s="4"/>
      <c r="K156" s="4"/>
      <c r="L156" s="4"/>
      <c r="M156" s="4"/>
      <c r="N156" s="4"/>
      <c r="O156" s="4"/>
      <c r="P156" s="4"/>
      <c r="Q156" s="4"/>
      <c r="R156" s="4"/>
      <c r="S156" s="4"/>
      <c r="T156" s="4"/>
      <c r="U156" s="4"/>
    </row>
    <row r="157" spans="1:21" ht="12">
      <c r="A157" s="4"/>
      <c r="B157" s="4"/>
      <c r="C157" s="4"/>
      <c r="D157" s="4"/>
      <c r="E157" s="4"/>
      <c r="F157" s="4"/>
      <c r="G157" s="4"/>
      <c r="H157" s="4"/>
      <c r="I157" s="4"/>
      <c r="J157" s="4"/>
      <c r="K157" s="4"/>
      <c r="L157" s="4"/>
      <c r="M157" s="4"/>
      <c r="N157" s="4"/>
      <c r="O157" s="4"/>
      <c r="P157" s="4"/>
      <c r="Q157" s="4"/>
      <c r="R157" s="4"/>
      <c r="S157" s="4"/>
      <c r="T157" s="4"/>
      <c r="U157" s="4"/>
    </row>
    <row r="158" spans="1:21" ht="12">
      <c r="A158" s="4"/>
      <c r="B158" s="4"/>
      <c r="C158" s="4"/>
      <c r="D158" s="4"/>
      <c r="E158" s="4"/>
      <c r="F158" s="4"/>
      <c r="G158" s="4"/>
      <c r="H158" s="4"/>
      <c r="I158" s="4"/>
      <c r="J158" s="4"/>
      <c r="K158" s="4"/>
      <c r="L158" s="4"/>
      <c r="M158" s="4"/>
      <c r="N158" s="4"/>
      <c r="O158" s="4"/>
      <c r="P158" s="4"/>
      <c r="Q158" s="4"/>
      <c r="R158" s="4"/>
      <c r="S158" s="4"/>
      <c r="T158" s="4"/>
      <c r="U158" s="4"/>
    </row>
    <row r="159" spans="1:21" ht="12">
      <c r="A159" s="4"/>
      <c r="B159" s="4"/>
      <c r="C159" s="4"/>
      <c r="D159" s="4"/>
      <c r="E159" s="4"/>
      <c r="F159" s="4"/>
      <c r="G159" s="4"/>
      <c r="H159" s="4"/>
      <c r="I159" s="4"/>
      <c r="J159" s="4"/>
      <c r="K159" s="4"/>
      <c r="L159" s="4"/>
      <c r="M159" s="4"/>
      <c r="N159" s="4"/>
      <c r="O159" s="4"/>
      <c r="P159" s="4"/>
      <c r="Q159" s="4"/>
      <c r="R159" s="4"/>
      <c r="S159" s="4"/>
      <c r="T159" s="4"/>
      <c r="U159" s="4"/>
    </row>
    <row r="160" spans="1:21" ht="12">
      <c r="A160" s="4"/>
      <c r="B160" s="4"/>
      <c r="C160" s="4"/>
      <c r="D160" s="4"/>
      <c r="E160" s="4"/>
      <c r="F160" s="4"/>
      <c r="G160" s="4"/>
      <c r="H160" s="4"/>
      <c r="I160" s="4"/>
      <c r="J160" s="4"/>
      <c r="K160" s="4"/>
      <c r="L160" s="4"/>
      <c r="M160" s="4"/>
      <c r="N160" s="4"/>
      <c r="O160" s="4"/>
      <c r="P160" s="4"/>
      <c r="Q160" s="4"/>
      <c r="R160" s="4"/>
      <c r="S160" s="4"/>
      <c r="T160" s="4"/>
      <c r="U160" s="4"/>
    </row>
    <row r="161" spans="1:21" ht="12">
      <c r="A161" s="4"/>
      <c r="B161" s="4"/>
      <c r="C161" s="4"/>
      <c r="D161" s="4"/>
      <c r="E161" s="4"/>
      <c r="F161" s="4"/>
      <c r="G161" s="4"/>
      <c r="H161" s="4"/>
      <c r="I161" s="4"/>
      <c r="J161" s="4"/>
      <c r="K161" s="4"/>
      <c r="L161" s="4"/>
      <c r="M161" s="4"/>
      <c r="N161" s="4"/>
      <c r="O161" s="4"/>
      <c r="P161" s="4"/>
      <c r="Q161" s="4"/>
      <c r="R161" s="4"/>
      <c r="S161" s="4"/>
      <c r="T161" s="4"/>
      <c r="U161" s="4"/>
    </row>
    <row r="162" spans="1:21" ht="12">
      <c r="A162" s="4"/>
      <c r="B162" s="4"/>
      <c r="C162" s="4"/>
      <c r="D162" s="4"/>
      <c r="E162" s="4"/>
      <c r="F162" s="4"/>
      <c r="G162" s="4"/>
      <c r="H162" s="4"/>
      <c r="I162" s="4"/>
      <c r="J162" s="4"/>
      <c r="K162" s="4"/>
      <c r="L162" s="4"/>
      <c r="M162" s="4"/>
      <c r="N162" s="4"/>
      <c r="O162" s="4"/>
      <c r="P162" s="4"/>
      <c r="Q162" s="4"/>
      <c r="R162" s="4"/>
      <c r="S162" s="4"/>
      <c r="T162" s="4"/>
      <c r="U162" s="4"/>
    </row>
    <row r="163" spans="1:21" ht="12">
      <c r="A163" s="4"/>
      <c r="B163" s="4"/>
      <c r="C163" s="4"/>
      <c r="D163" s="4"/>
      <c r="E163" s="4"/>
      <c r="F163" s="4"/>
      <c r="G163" s="4"/>
      <c r="H163" s="4"/>
      <c r="I163" s="4"/>
      <c r="J163" s="4"/>
      <c r="K163" s="4"/>
      <c r="L163" s="4"/>
      <c r="M163" s="4"/>
      <c r="N163" s="4"/>
      <c r="O163" s="4"/>
      <c r="P163" s="4"/>
      <c r="Q163" s="4"/>
      <c r="R163" s="4"/>
      <c r="S163" s="4"/>
      <c r="T163" s="4"/>
      <c r="U163" s="4"/>
    </row>
    <row r="164" spans="1:21" ht="12">
      <c r="A164" s="4"/>
      <c r="B164" s="4"/>
      <c r="C164" s="4"/>
      <c r="D164" s="4"/>
      <c r="E164" s="4"/>
      <c r="F164" s="4"/>
      <c r="G164" s="4"/>
      <c r="H164" s="4"/>
      <c r="I164" s="4"/>
      <c r="J164" s="4"/>
      <c r="K164" s="4"/>
      <c r="L164" s="4"/>
      <c r="M164" s="4"/>
      <c r="N164" s="4"/>
      <c r="O164" s="4"/>
      <c r="P164" s="4"/>
      <c r="Q164" s="4"/>
      <c r="R164" s="4"/>
      <c r="S164" s="4"/>
      <c r="T164" s="4"/>
      <c r="U164" s="4"/>
    </row>
    <row r="165" spans="1:21" ht="12">
      <c r="A165" s="4"/>
      <c r="B165" s="4"/>
      <c r="C165" s="4"/>
      <c r="D165" s="4"/>
      <c r="E165" s="4"/>
      <c r="F165" s="4"/>
      <c r="G165" s="4"/>
      <c r="H165" s="4"/>
      <c r="I165" s="4"/>
      <c r="J165" s="4"/>
      <c r="K165" s="4"/>
      <c r="L165" s="4"/>
      <c r="M165" s="4"/>
      <c r="N165" s="4"/>
      <c r="O165" s="4"/>
      <c r="P165" s="4"/>
      <c r="Q165" s="4"/>
      <c r="R165" s="4"/>
      <c r="S165" s="4"/>
      <c r="T165" s="4"/>
      <c r="U165" s="4"/>
    </row>
    <row r="166" spans="1:21" ht="12">
      <c r="A166" s="4"/>
      <c r="B166" s="4"/>
      <c r="C166" s="4"/>
      <c r="D166" s="4"/>
      <c r="E166" s="4"/>
      <c r="F166" s="4"/>
      <c r="G166" s="4"/>
      <c r="H166" s="4"/>
      <c r="I166" s="4"/>
      <c r="J166" s="4"/>
      <c r="K166" s="4"/>
      <c r="L166" s="4"/>
      <c r="M166" s="4"/>
      <c r="N166" s="4"/>
      <c r="O166" s="4"/>
      <c r="P166" s="4"/>
      <c r="Q166" s="4"/>
      <c r="R166" s="4"/>
      <c r="S166" s="4"/>
      <c r="T166" s="4"/>
      <c r="U166" s="4"/>
    </row>
    <row r="167" spans="1:21" ht="12">
      <c r="A167" s="4"/>
      <c r="B167" s="4"/>
      <c r="C167" s="4"/>
      <c r="D167" s="4"/>
      <c r="E167" s="4"/>
      <c r="F167" s="4"/>
      <c r="G167" s="4"/>
      <c r="H167" s="4"/>
      <c r="I167" s="4"/>
      <c r="J167" s="4"/>
      <c r="K167" s="4"/>
      <c r="L167" s="4"/>
      <c r="M167" s="4"/>
      <c r="N167" s="4"/>
      <c r="O167" s="4"/>
      <c r="P167" s="4"/>
      <c r="Q167" s="4"/>
      <c r="R167" s="4"/>
      <c r="S167" s="4"/>
      <c r="T167" s="4"/>
      <c r="U167" s="4"/>
    </row>
    <row r="168" spans="1:21" ht="12">
      <c r="A168" s="4"/>
      <c r="B168" s="4"/>
      <c r="C168" s="4"/>
      <c r="D168" s="4"/>
      <c r="E168" s="4"/>
      <c r="F168" s="4"/>
      <c r="G168" s="4"/>
      <c r="H168" s="4"/>
      <c r="I168" s="4"/>
      <c r="J168" s="4"/>
      <c r="K168" s="4"/>
      <c r="L168" s="4"/>
      <c r="M168" s="4"/>
      <c r="N168" s="4"/>
      <c r="O168" s="4"/>
      <c r="P168" s="4"/>
      <c r="Q168" s="4"/>
      <c r="R168" s="4"/>
      <c r="S168" s="4"/>
      <c r="T168" s="4"/>
      <c r="U168" s="4"/>
    </row>
    <row r="169" spans="1:21" ht="12">
      <c r="A169" s="4"/>
      <c r="B169" s="4"/>
      <c r="C169" s="4"/>
      <c r="D169" s="4"/>
      <c r="E169" s="4"/>
      <c r="F169" s="4"/>
      <c r="G169" s="4"/>
      <c r="H169" s="4"/>
      <c r="I169" s="4"/>
      <c r="J169" s="4"/>
      <c r="K169" s="4"/>
      <c r="L169" s="4"/>
      <c r="M169" s="4"/>
      <c r="N169" s="4"/>
      <c r="O169" s="4"/>
      <c r="P169" s="4"/>
      <c r="Q169" s="4"/>
      <c r="R169" s="4"/>
      <c r="S169" s="4"/>
      <c r="T169" s="4"/>
      <c r="U169" s="4"/>
    </row>
    <row r="170" spans="1:21" ht="12">
      <c r="A170" s="4"/>
      <c r="B170" s="4"/>
      <c r="C170" s="4"/>
      <c r="D170" s="4"/>
      <c r="E170" s="4"/>
      <c r="F170" s="4"/>
      <c r="G170" s="4"/>
      <c r="H170" s="4"/>
      <c r="I170" s="4"/>
      <c r="J170" s="4"/>
      <c r="K170" s="4"/>
      <c r="L170" s="4"/>
      <c r="M170" s="4"/>
      <c r="N170" s="4"/>
      <c r="O170" s="4"/>
      <c r="P170" s="4"/>
      <c r="Q170" s="4"/>
      <c r="R170" s="4"/>
      <c r="S170" s="4"/>
      <c r="T170" s="4"/>
      <c r="U170" s="4"/>
    </row>
    <row r="171" spans="1:21" ht="12">
      <c r="A171" s="4"/>
      <c r="B171" s="4"/>
      <c r="C171" s="4"/>
      <c r="D171" s="4"/>
      <c r="E171" s="4"/>
      <c r="F171" s="4"/>
      <c r="G171" s="4"/>
      <c r="H171" s="4"/>
      <c r="I171" s="4"/>
      <c r="J171" s="4"/>
      <c r="K171" s="4"/>
      <c r="L171" s="4"/>
      <c r="M171" s="4"/>
      <c r="N171" s="4"/>
      <c r="O171" s="4"/>
      <c r="P171" s="4"/>
      <c r="Q171" s="4"/>
      <c r="R171" s="4"/>
      <c r="S171" s="4"/>
      <c r="T171" s="4"/>
      <c r="U171" s="4"/>
    </row>
    <row r="172" spans="1:21" ht="12">
      <c r="A172" s="4"/>
      <c r="B172" s="4"/>
      <c r="C172" s="4"/>
      <c r="D172" s="4"/>
      <c r="E172" s="4"/>
      <c r="F172" s="4"/>
      <c r="G172" s="4"/>
      <c r="H172" s="4"/>
      <c r="I172" s="4"/>
      <c r="J172" s="4"/>
      <c r="K172" s="4"/>
      <c r="L172" s="4"/>
      <c r="M172" s="4"/>
      <c r="N172" s="4"/>
      <c r="O172" s="4"/>
      <c r="P172" s="4"/>
      <c r="Q172" s="4"/>
      <c r="R172" s="4"/>
      <c r="S172" s="4"/>
      <c r="T172" s="4"/>
      <c r="U172" s="4"/>
    </row>
    <row r="173" spans="1:21" ht="12">
      <c r="A173" s="4"/>
      <c r="B173" s="4"/>
      <c r="C173" s="4"/>
      <c r="D173" s="4"/>
      <c r="E173" s="4"/>
      <c r="F173" s="4"/>
      <c r="G173" s="4"/>
      <c r="H173" s="4"/>
      <c r="I173" s="4"/>
      <c r="J173" s="4"/>
      <c r="K173" s="4"/>
      <c r="L173" s="4"/>
      <c r="M173" s="4"/>
      <c r="N173" s="4"/>
      <c r="O173" s="4"/>
      <c r="P173" s="4"/>
      <c r="Q173" s="4"/>
      <c r="R173" s="4"/>
      <c r="S173" s="4"/>
      <c r="T173" s="4"/>
      <c r="U173" s="4"/>
    </row>
    <row r="174" spans="1:21" ht="12">
      <c r="A174" s="4"/>
      <c r="B174" s="4"/>
      <c r="C174" s="4"/>
      <c r="D174" s="4"/>
      <c r="E174" s="4"/>
      <c r="F174" s="4"/>
      <c r="G174" s="4"/>
      <c r="H174" s="4"/>
      <c r="I174" s="4"/>
      <c r="J174" s="4"/>
      <c r="K174" s="4"/>
      <c r="L174" s="4"/>
      <c r="M174" s="4"/>
      <c r="N174" s="4"/>
      <c r="O174" s="4"/>
      <c r="P174" s="4"/>
      <c r="Q174" s="4"/>
      <c r="R174" s="4"/>
      <c r="S174" s="4"/>
      <c r="T174" s="4"/>
      <c r="U174" s="4"/>
    </row>
    <row r="175" spans="1:21" ht="12">
      <c r="A175" s="4"/>
      <c r="B175" s="4"/>
      <c r="C175" s="4"/>
      <c r="D175" s="4"/>
      <c r="E175" s="4"/>
      <c r="F175" s="4"/>
      <c r="G175" s="4"/>
      <c r="H175" s="4"/>
      <c r="I175" s="4"/>
      <c r="J175" s="4"/>
      <c r="K175" s="4"/>
      <c r="L175" s="4"/>
      <c r="M175" s="4"/>
      <c r="N175" s="4"/>
      <c r="O175" s="4"/>
      <c r="P175" s="4"/>
      <c r="Q175" s="4"/>
      <c r="R175" s="4"/>
      <c r="S175" s="4"/>
      <c r="T175" s="4"/>
      <c r="U175" s="4"/>
    </row>
    <row r="176" spans="1:21" ht="12">
      <c r="A176" s="4"/>
      <c r="B176" s="4"/>
      <c r="C176" s="4"/>
      <c r="D176" s="4"/>
      <c r="E176" s="4"/>
      <c r="F176" s="4"/>
      <c r="G176" s="4"/>
      <c r="H176" s="4"/>
      <c r="I176" s="4"/>
      <c r="J176" s="4"/>
      <c r="K176" s="4"/>
      <c r="L176" s="4"/>
      <c r="M176" s="4"/>
      <c r="N176" s="4"/>
      <c r="O176" s="4"/>
      <c r="P176" s="4"/>
      <c r="Q176" s="4"/>
      <c r="R176" s="4"/>
      <c r="S176" s="4"/>
      <c r="T176" s="4"/>
      <c r="U176" s="4"/>
    </row>
    <row r="177" spans="1:21" ht="12">
      <c r="A177" s="4"/>
      <c r="B177" s="4"/>
      <c r="C177" s="4"/>
      <c r="D177" s="4"/>
      <c r="E177" s="4"/>
      <c r="F177" s="4"/>
      <c r="G177" s="4"/>
      <c r="H177" s="4"/>
      <c r="I177" s="4"/>
      <c r="J177" s="4"/>
      <c r="K177" s="4"/>
      <c r="L177" s="4"/>
      <c r="M177" s="4"/>
      <c r="N177" s="4"/>
      <c r="O177" s="4"/>
      <c r="P177" s="4"/>
      <c r="Q177" s="4"/>
      <c r="R177" s="4"/>
      <c r="S177" s="4"/>
      <c r="T177" s="4"/>
      <c r="U177" s="4"/>
    </row>
    <row r="178" spans="1:21" ht="12">
      <c r="A178" s="4"/>
      <c r="B178" s="4"/>
      <c r="C178" s="4"/>
      <c r="D178" s="4"/>
      <c r="E178" s="4"/>
      <c r="F178" s="4"/>
      <c r="G178" s="4"/>
      <c r="H178" s="4"/>
      <c r="I178" s="4"/>
      <c r="J178" s="4"/>
      <c r="K178" s="4"/>
      <c r="L178" s="4"/>
      <c r="M178" s="4"/>
      <c r="N178" s="4"/>
      <c r="O178" s="4"/>
      <c r="P178" s="4"/>
      <c r="Q178" s="4"/>
      <c r="R178" s="4"/>
      <c r="S178" s="4"/>
      <c r="T178" s="4"/>
      <c r="U178" s="4"/>
    </row>
    <row r="179" spans="1:21" ht="12">
      <c r="A179" s="4"/>
      <c r="B179" s="4"/>
      <c r="C179" s="4"/>
      <c r="D179" s="4"/>
      <c r="E179" s="4"/>
      <c r="F179" s="4"/>
      <c r="G179" s="4"/>
      <c r="H179" s="4"/>
      <c r="I179" s="4"/>
      <c r="J179" s="4"/>
      <c r="K179" s="4"/>
      <c r="L179" s="4"/>
      <c r="M179" s="4"/>
      <c r="N179" s="4"/>
      <c r="O179" s="4"/>
      <c r="P179" s="4"/>
      <c r="Q179" s="4"/>
      <c r="R179" s="4"/>
      <c r="S179" s="4"/>
      <c r="T179" s="4"/>
      <c r="U179" s="4"/>
    </row>
    <row r="180" spans="1:21" ht="12">
      <c r="A180" s="4"/>
      <c r="B180" s="4"/>
      <c r="C180" s="4"/>
      <c r="D180" s="4"/>
      <c r="E180" s="4"/>
      <c r="F180" s="4"/>
      <c r="G180" s="4"/>
      <c r="H180" s="4"/>
      <c r="I180" s="4"/>
      <c r="J180" s="4"/>
      <c r="K180" s="4"/>
      <c r="L180" s="4"/>
      <c r="M180" s="4"/>
      <c r="N180" s="4"/>
      <c r="O180" s="4"/>
      <c r="P180" s="4"/>
      <c r="Q180" s="4"/>
      <c r="R180" s="4"/>
      <c r="S180" s="4"/>
      <c r="T180" s="4"/>
      <c r="U180" s="4"/>
    </row>
    <row r="181" spans="1:21" ht="12">
      <c r="A181" s="4"/>
      <c r="B181" s="4"/>
      <c r="C181" s="4"/>
      <c r="D181" s="4"/>
      <c r="E181" s="4"/>
      <c r="F181" s="4"/>
      <c r="G181" s="4"/>
      <c r="H181" s="4"/>
      <c r="I181" s="4"/>
      <c r="J181" s="4"/>
      <c r="K181" s="4"/>
      <c r="L181" s="4"/>
      <c r="M181" s="4"/>
      <c r="N181" s="4"/>
      <c r="O181" s="4"/>
      <c r="P181" s="4"/>
      <c r="Q181" s="4"/>
      <c r="R181" s="4"/>
      <c r="S181" s="4"/>
      <c r="T181" s="4"/>
      <c r="U181" s="4"/>
    </row>
    <row r="182" spans="1:21" ht="12">
      <c r="A182" s="4"/>
      <c r="B182" s="4"/>
      <c r="C182" s="4"/>
      <c r="D182" s="4"/>
      <c r="E182" s="4"/>
      <c r="F182" s="4"/>
      <c r="G182" s="4"/>
      <c r="H182" s="4"/>
      <c r="I182" s="4"/>
      <c r="J182" s="4"/>
      <c r="K182" s="4"/>
      <c r="L182" s="4"/>
      <c r="M182" s="4"/>
      <c r="N182" s="4"/>
      <c r="O182" s="4"/>
      <c r="P182" s="4"/>
      <c r="Q182" s="4"/>
      <c r="R182" s="4"/>
      <c r="S182" s="4"/>
      <c r="T182" s="4"/>
      <c r="U182" s="4"/>
    </row>
    <row r="183" spans="1:21" ht="12">
      <c r="A183" s="4"/>
      <c r="B183" s="4"/>
      <c r="C183" s="4"/>
      <c r="D183" s="4"/>
      <c r="E183" s="4"/>
      <c r="F183" s="4"/>
      <c r="G183" s="4"/>
      <c r="H183" s="4"/>
      <c r="I183" s="4"/>
      <c r="J183" s="4"/>
      <c r="K183" s="4"/>
      <c r="L183" s="4"/>
      <c r="M183" s="4"/>
      <c r="N183" s="4"/>
      <c r="O183" s="4"/>
      <c r="P183" s="4"/>
      <c r="Q183" s="4"/>
      <c r="R183" s="4"/>
      <c r="S183" s="4"/>
      <c r="T183" s="4"/>
      <c r="U183" s="4"/>
    </row>
    <row r="184" spans="1:21" ht="12">
      <c r="A184" s="4"/>
      <c r="B184" s="4"/>
      <c r="C184" s="4"/>
      <c r="D184" s="4"/>
      <c r="E184" s="4"/>
      <c r="F184" s="4"/>
      <c r="G184" s="4"/>
      <c r="H184" s="4"/>
      <c r="I184" s="4"/>
      <c r="J184" s="4"/>
      <c r="K184" s="4"/>
      <c r="L184" s="4"/>
      <c r="M184" s="4"/>
      <c r="N184" s="4"/>
      <c r="O184" s="4"/>
      <c r="P184" s="4"/>
      <c r="Q184" s="4"/>
      <c r="R184" s="4"/>
      <c r="S184" s="4"/>
      <c r="T184" s="4"/>
      <c r="U184" s="4"/>
    </row>
    <row r="185" spans="1:21" ht="12">
      <c r="A185" s="4"/>
      <c r="B185" s="4"/>
      <c r="C185" s="4"/>
      <c r="D185" s="4"/>
      <c r="E185" s="4"/>
      <c r="F185" s="4"/>
      <c r="G185" s="4"/>
      <c r="H185" s="4"/>
      <c r="I185" s="4"/>
      <c r="J185" s="4"/>
      <c r="K185" s="4"/>
      <c r="L185" s="4"/>
      <c r="M185" s="4"/>
      <c r="N185" s="4"/>
      <c r="O185" s="4"/>
      <c r="P185" s="4"/>
      <c r="Q185" s="4"/>
      <c r="R185" s="4"/>
      <c r="S185" s="4"/>
      <c r="T185" s="4"/>
      <c r="U185" s="4"/>
    </row>
    <row r="186" spans="1:21" ht="12">
      <c r="A186" s="4"/>
      <c r="B186" s="4"/>
      <c r="C186" s="4"/>
      <c r="D186" s="4"/>
      <c r="E186" s="4"/>
      <c r="F186" s="4"/>
      <c r="G186" s="4"/>
      <c r="H186" s="4"/>
      <c r="I186" s="4"/>
      <c r="J186" s="4"/>
      <c r="K186" s="4"/>
      <c r="L186" s="4"/>
      <c r="M186" s="4"/>
      <c r="N186" s="4"/>
      <c r="O186" s="4"/>
      <c r="P186" s="4"/>
      <c r="Q186" s="4"/>
      <c r="R186" s="4"/>
      <c r="S186" s="4"/>
      <c r="T186" s="4"/>
      <c r="U186" s="4"/>
    </row>
    <row r="187" spans="1:21" ht="12">
      <c r="A187" s="4"/>
      <c r="B187" s="4"/>
      <c r="C187" s="4"/>
      <c r="D187" s="4"/>
      <c r="E187" s="4"/>
      <c r="F187" s="4"/>
      <c r="G187" s="4"/>
      <c r="H187" s="4"/>
      <c r="I187" s="4"/>
      <c r="J187" s="4"/>
      <c r="K187" s="4"/>
      <c r="L187" s="4"/>
      <c r="M187" s="4"/>
      <c r="N187" s="4"/>
      <c r="O187" s="4"/>
      <c r="P187" s="4"/>
      <c r="Q187" s="4"/>
      <c r="R187" s="4"/>
      <c r="S187" s="4"/>
      <c r="T187" s="4"/>
      <c r="U187" s="4"/>
    </row>
    <row r="188" spans="1:21" ht="12">
      <c r="A188" s="4"/>
      <c r="B188" s="4"/>
      <c r="C188" s="4"/>
      <c r="D188" s="4"/>
      <c r="E188" s="4"/>
      <c r="F188" s="4"/>
      <c r="G188" s="4"/>
      <c r="H188" s="4"/>
      <c r="I188" s="4"/>
      <c r="J188" s="4"/>
      <c r="K188" s="4"/>
      <c r="L188" s="4"/>
      <c r="M188" s="4"/>
      <c r="N188" s="4"/>
      <c r="O188" s="4"/>
      <c r="P188" s="4"/>
      <c r="Q188" s="4"/>
      <c r="R188" s="4"/>
      <c r="S188" s="4"/>
      <c r="T188" s="4"/>
      <c r="U188" s="4"/>
    </row>
    <row r="189" spans="1:21" ht="12">
      <c r="A189" s="4"/>
      <c r="B189" s="4"/>
      <c r="C189" s="4"/>
      <c r="D189" s="4"/>
      <c r="E189" s="4"/>
      <c r="F189" s="4"/>
      <c r="G189" s="4"/>
      <c r="H189" s="4"/>
      <c r="I189" s="4"/>
      <c r="J189" s="4"/>
      <c r="K189" s="4"/>
      <c r="L189" s="4"/>
      <c r="M189" s="4"/>
      <c r="N189" s="4"/>
      <c r="O189" s="4"/>
      <c r="P189" s="4"/>
      <c r="Q189" s="4"/>
      <c r="R189" s="4"/>
      <c r="S189" s="4"/>
      <c r="T189" s="4"/>
      <c r="U189" s="4"/>
    </row>
    <row r="190" spans="1:21" ht="12">
      <c r="A190" s="4"/>
      <c r="B190" s="4"/>
      <c r="C190" s="4"/>
      <c r="D190" s="4"/>
      <c r="E190" s="4"/>
      <c r="F190" s="4"/>
      <c r="G190" s="4"/>
      <c r="H190" s="4"/>
      <c r="I190" s="4"/>
      <c r="J190" s="4"/>
      <c r="K190" s="4"/>
      <c r="L190" s="4"/>
      <c r="M190" s="4"/>
      <c r="N190" s="4"/>
      <c r="O190" s="4"/>
      <c r="P190" s="4"/>
      <c r="Q190" s="4"/>
      <c r="R190" s="4"/>
      <c r="S190" s="4"/>
      <c r="T190" s="4"/>
      <c r="U190" s="4"/>
    </row>
    <row r="191" spans="1:21" ht="12">
      <c r="A191" s="4"/>
      <c r="B191" s="4"/>
      <c r="C191" s="4"/>
      <c r="D191" s="4"/>
      <c r="E191" s="4"/>
      <c r="F191" s="4"/>
      <c r="G191" s="4"/>
      <c r="H191" s="4"/>
      <c r="I191" s="4"/>
      <c r="J191" s="4"/>
      <c r="K191" s="4"/>
      <c r="L191" s="4"/>
      <c r="M191" s="4"/>
      <c r="N191" s="4"/>
      <c r="O191" s="4"/>
      <c r="P191" s="4"/>
      <c r="Q191" s="4"/>
      <c r="R191" s="4"/>
      <c r="S191" s="4"/>
      <c r="T191" s="4"/>
      <c r="U191" s="4"/>
    </row>
    <row r="192" spans="1:21" ht="12">
      <c r="A192" s="4"/>
      <c r="B192" s="4"/>
      <c r="C192" s="4"/>
      <c r="D192" s="4"/>
      <c r="E192" s="4"/>
      <c r="F192" s="4"/>
      <c r="G192" s="4"/>
      <c r="H192" s="4"/>
      <c r="I192" s="4"/>
      <c r="J192" s="4"/>
      <c r="K192" s="4"/>
      <c r="L192" s="4"/>
      <c r="M192" s="4"/>
      <c r="N192" s="4"/>
      <c r="O192" s="4"/>
      <c r="P192" s="4"/>
      <c r="Q192" s="4"/>
      <c r="R192" s="4"/>
      <c r="S192" s="4"/>
      <c r="T192" s="4"/>
      <c r="U192" s="4"/>
    </row>
    <row r="193" spans="1:21" ht="12">
      <c r="A193" s="4"/>
      <c r="B193" s="4"/>
      <c r="C193" s="4"/>
      <c r="D193" s="4"/>
      <c r="E193" s="4"/>
      <c r="F193" s="4"/>
      <c r="G193" s="4"/>
      <c r="H193" s="4"/>
      <c r="I193" s="4"/>
      <c r="J193" s="4"/>
      <c r="K193" s="4"/>
      <c r="L193" s="4"/>
      <c r="M193" s="4"/>
      <c r="N193" s="4"/>
      <c r="O193" s="4"/>
      <c r="P193" s="4"/>
      <c r="Q193" s="4"/>
      <c r="R193" s="4"/>
      <c r="S193" s="4"/>
      <c r="T193" s="4"/>
      <c r="U193" s="4"/>
    </row>
    <row r="194" spans="1:21" ht="12">
      <c r="A194" s="4"/>
      <c r="B194" s="4"/>
      <c r="C194" s="4"/>
      <c r="D194" s="4"/>
      <c r="E194" s="4"/>
      <c r="F194" s="4"/>
      <c r="G194" s="4"/>
      <c r="H194" s="4"/>
      <c r="I194" s="4"/>
      <c r="J194" s="4"/>
      <c r="K194" s="4"/>
      <c r="L194" s="4"/>
      <c r="M194" s="4"/>
      <c r="N194" s="4"/>
      <c r="O194" s="4"/>
      <c r="P194" s="4"/>
      <c r="Q194" s="4"/>
      <c r="R194" s="4"/>
      <c r="S194" s="4"/>
      <c r="T194" s="4"/>
      <c r="U194" s="4"/>
    </row>
    <row r="195" spans="1:21" ht="12">
      <c r="A195" s="4"/>
      <c r="B195" s="4"/>
      <c r="C195" s="4"/>
      <c r="D195" s="4"/>
      <c r="E195" s="4"/>
      <c r="F195" s="4"/>
      <c r="G195" s="4"/>
      <c r="H195" s="4"/>
      <c r="I195" s="4"/>
      <c r="J195" s="4"/>
      <c r="K195" s="4"/>
      <c r="L195" s="4"/>
      <c r="M195" s="4"/>
      <c r="N195" s="4"/>
      <c r="O195" s="4"/>
      <c r="P195" s="4"/>
      <c r="Q195" s="4"/>
      <c r="R195" s="4"/>
      <c r="S195" s="4"/>
      <c r="T195" s="4"/>
      <c r="U195" s="4"/>
    </row>
    <row r="196" spans="1:21" ht="12">
      <c r="A196" s="4"/>
      <c r="B196" s="4"/>
      <c r="C196" s="4"/>
      <c r="D196" s="4"/>
      <c r="E196" s="4"/>
      <c r="F196" s="4"/>
      <c r="G196" s="4"/>
      <c r="H196" s="4"/>
      <c r="I196" s="4"/>
      <c r="J196" s="4"/>
      <c r="K196" s="4"/>
      <c r="L196" s="4"/>
      <c r="M196" s="4"/>
      <c r="N196" s="4"/>
      <c r="O196" s="4"/>
      <c r="P196" s="4"/>
      <c r="Q196" s="4"/>
      <c r="R196" s="4"/>
      <c r="S196" s="4"/>
      <c r="T196" s="4"/>
      <c r="U196" s="4"/>
    </row>
    <row r="197" spans="1:21" ht="12">
      <c r="A197" s="4"/>
      <c r="B197" s="4"/>
      <c r="C197" s="4"/>
      <c r="D197" s="4"/>
      <c r="E197" s="4"/>
      <c r="F197" s="4"/>
      <c r="G197" s="4"/>
      <c r="H197" s="4"/>
      <c r="I197" s="4"/>
      <c r="J197" s="4"/>
      <c r="K197" s="4"/>
      <c r="L197" s="4"/>
      <c r="M197" s="4"/>
      <c r="N197" s="4"/>
      <c r="O197" s="4"/>
      <c r="P197" s="4"/>
      <c r="Q197" s="4"/>
      <c r="R197" s="4"/>
      <c r="S197" s="4"/>
      <c r="T197" s="4"/>
      <c r="U197" s="4"/>
    </row>
    <row r="198" spans="1:21" ht="12">
      <c r="A198" s="4"/>
      <c r="B198" s="4"/>
      <c r="C198" s="4"/>
      <c r="D198" s="4"/>
      <c r="E198" s="4"/>
      <c r="F198" s="4"/>
      <c r="G198" s="4"/>
      <c r="H198" s="4"/>
      <c r="I198" s="4"/>
      <c r="J198" s="4"/>
      <c r="K198" s="4"/>
      <c r="L198" s="4"/>
      <c r="M198" s="4"/>
      <c r="N198" s="4"/>
      <c r="O198" s="4"/>
      <c r="P198" s="4"/>
      <c r="Q198" s="4"/>
      <c r="R198" s="4"/>
      <c r="S198" s="4"/>
      <c r="T198" s="4"/>
      <c r="U198" s="4"/>
    </row>
    <row r="199" spans="1:21" ht="12">
      <c r="A199" s="4"/>
      <c r="B199" s="4"/>
      <c r="C199" s="4"/>
      <c r="D199" s="4"/>
      <c r="E199" s="4"/>
      <c r="F199" s="4"/>
      <c r="G199" s="4"/>
      <c r="H199" s="4"/>
      <c r="I199" s="4"/>
      <c r="J199" s="4"/>
      <c r="K199" s="4"/>
      <c r="L199" s="4"/>
      <c r="M199" s="4"/>
      <c r="N199" s="4"/>
      <c r="O199" s="4"/>
      <c r="P199" s="4"/>
      <c r="Q199" s="4"/>
      <c r="R199" s="4"/>
      <c r="S199" s="4"/>
      <c r="T199" s="4"/>
      <c r="U199" s="4"/>
    </row>
    <row r="200" spans="1:21" ht="12">
      <c r="A200" s="4"/>
      <c r="B200" s="4"/>
      <c r="C200" s="4"/>
      <c r="D200" s="4"/>
      <c r="E200" s="4"/>
      <c r="F200" s="4"/>
      <c r="G200" s="4"/>
      <c r="H200" s="4"/>
      <c r="I200" s="4"/>
      <c r="J200" s="4"/>
      <c r="K200" s="4"/>
      <c r="L200" s="4"/>
      <c r="M200" s="4"/>
      <c r="N200" s="4"/>
      <c r="O200" s="4"/>
      <c r="P200" s="4"/>
      <c r="Q200" s="4"/>
      <c r="R200" s="4"/>
      <c r="S200" s="4"/>
      <c r="T200" s="4"/>
      <c r="U200" s="4"/>
    </row>
    <row r="201" spans="1:21" ht="12">
      <c r="A201" s="4"/>
      <c r="B201" s="4"/>
      <c r="C201" s="4"/>
      <c r="D201" s="4"/>
      <c r="E201" s="4"/>
      <c r="F201" s="4"/>
      <c r="G201" s="4"/>
      <c r="H201" s="4"/>
      <c r="I201" s="4"/>
      <c r="J201" s="4"/>
      <c r="K201" s="4"/>
      <c r="L201" s="4"/>
      <c r="M201" s="4"/>
      <c r="N201" s="4"/>
      <c r="O201" s="4"/>
      <c r="P201" s="4"/>
      <c r="Q201" s="4"/>
      <c r="R201" s="4"/>
      <c r="S201" s="4"/>
      <c r="T201" s="4"/>
      <c r="U201" s="4"/>
    </row>
    <row r="202" spans="1:3" ht="12">
      <c r="A202" s="4"/>
      <c r="B202" s="4"/>
      <c r="C202" s="4"/>
    </row>
    <row r="203" spans="1:3" ht="12">
      <c r="A203" s="4"/>
      <c r="B203" s="4"/>
      <c r="C203" s="4"/>
    </row>
    <row r="204" spans="1:3" ht="12">
      <c r="A204" s="4"/>
      <c r="B204" s="4"/>
      <c r="C204" s="4"/>
    </row>
    <row r="205" spans="1:3" ht="12">
      <c r="A205" s="4"/>
      <c r="B205" s="4"/>
      <c r="C205" s="4"/>
    </row>
  </sheetData>
  <sheetProtection sheet="1" objects="1" scenarios="1"/>
  <mergeCells count="55">
    <mergeCell ref="H11:J11"/>
    <mergeCell ref="G13:J14"/>
    <mergeCell ref="H9:J9"/>
    <mergeCell ref="H10:J10"/>
    <mergeCell ref="A117:C117"/>
    <mergeCell ref="G106:H106"/>
    <mergeCell ref="B29:C29"/>
    <mergeCell ref="B25:D25"/>
    <mergeCell ref="F66:H67"/>
    <mergeCell ref="F68:H70"/>
    <mergeCell ref="F71:H72"/>
    <mergeCell ref="F83:H83"/>
    <mergeCell ref="F84:H85"/>
    <mergeCell ref="F74:H77"/>
    <mergeCell ref="A121:C121"/>
    <mergeCell ref="A106:C106"/>
    <mergeCell ref="A118:C119"/>
    <mergeCell ref="A120:C120"/>
    <mergeCell ref="A107:C107"/>
    <mergeCell ref="A108:C108"/>
    <mergeCell ref="A110:C110"/>
    <mergeCell ref="A116:C116"/>
    <mergeCell ref="A115:C115"/>
    <mergeCell ref="A114:C114"/>
    <mergeCell ref="F73:H73"/>
    <mergeCell ref="F78:H78"/>
    <mergeCell ref="F81:H81"/>
    <mergeCell ref="H41:J42"/>
    <mergeCell ref="B23:D23"/>
    <mergeCell ref="B24:D24"/>
    <mergeCell ref="A113:C113"/>
    <mergeCell ref="A109:C109"/>
    <mergeCell ref="B26:D26"/>
    <mergeCell ref="A111:C111"/>
    <mergeCell ref="A112:C112"/>
    <mergeCell ref="E5:F5"/>
    <mergeCell ref="B12:D12"/>
    <mergeCell ref="B9:D9"/>
    <mergeCell ref="E12:F12"/>
    <mergeCell ref="E9:F11"/>
    <mergeCell ref="B11:D11"/>
    <mergeCell ref="B10:D10"/>
    <mergeCell ref="A2:A3"/>
    <mergeCell ref="E2:F2"/>
    <mergeCell ref="E3:F3"/>
    <mergeCell ref="E4:F4"/>
    <mergeCell ref="C4:D4"/>
    <mergeCell ref="H7:J7"/>
    <mergeCell ref="H8:J8"/>
    <mergeCell ref="E6:F8"/>
    <mergeCell ref="G6:J6"/>
    <mergeCell ref="E13:F13"/>
    <mergeCell ref="B13:D13"/>
    <mergeCell ref="B14:D14"/>
    <mergeCell ref="E14:F14"/>
  </mergeCells>
  <printOptions/>
  <pageMargins left="0.75" right="0.75" top="1" bottom="1" header="0.5" footer="0.5"/>
  <pageSetup orientation="landscape" paperSize="9"/>
  <headerFooter alignWithMargins="0">
    <oddHeader>&amp;C&amp;A</oddHeader>
    <oddFooter>&amp;C- &amp;P -</oddFooter>
  </headerFooter>
</worksheet>
</file>

<file path=xl/worksheets/sheet10.xml><?xml version="1.0" encoding="utf-8"?>
<worksheet xmlns="http://schemas.openxmlformats.org/spreadsheetml/2006/main" xmlns:r="http://schemas.openxmlformats.org/officeDocument/2006/relationships">
  <dimension ref="A1:K42"/>
  <sheetViews>
    <sheetView zoomScale="75" zoomScaleNormal="75" workbookViewId="0" topLeftCell="A28">
      <selection activeCell="F3" sqref="F3:G3"/>
    </sheetView>
  </sheetViews>
  <sheetFormatPr defaultColWidth="8.796875" defaultRowHeight="15"/>
  <cols>
    <col min="1" max="1" width="8.69921875" style="594" customWidth="1"/>
    <col min="2" max="8" width="10.69921875" style="594" customWidth="1"/>
    <col min="9" max="9" width="8.69921875" style="594" customWidth="1"/>
    <col min="10" max="10" width="14.19921875" style="594" customWidth="1"/>
    <col min="11" max="11" width="12.59765625" style="594" customWidth="1"/>
    <col min="12" max="16384" width="8.69921875" style="594" customWidth="1"/>
  </cols>
  <sheetData>
    <row r="1" spans="1:11" ht="21.75" customHeight="1">
      <c r="A1" s="593" t="s">
        <v>940</v>
      </c>
      <c r="D1" s="594" t="s">
        <v>25</v>
      </c>
      <c r="J1" s="594" t="s">
        <v>58</v>
      </c>
      <c r="K1" s="595">
        <f>SUM(F6:F15)</f>
        <v>23750000</v>
      </c>
    </row>
    <row r="2" ht="21.75" customHeight="1">
      <c r="A2" s="594" t="s">
        <v>503</v>
      </c>
    </row>
    <row r="3" spans="1:8" ht="21.75" customHeight="1">
      <c r="A3" s="1150" t="s">
        <v>942</v>
      </c>
      <c r="B3" s="596" t="s">
        <v>821</v>
      </c>
      <c r="C3" s="596" t="s">
        <v>495</v>
      </c>
      <c r="D3" s="596" t="s">
        <v>496</v>
      </c>
      <c r="E3" s="596" t="s">
        <v>497</v>
      </c>
      <c r="F3" s="1137" t="s">
        <v>943</v>
      </c>
      <c r="G3" s="1137"/>
      <c r="H3" s="1160" t="s">
        <v>498</v>
      </c>
    </row>
    <row r="4" spans="1:11" ht="21.75" customHeight="1">
      <c r="A4" s="1151"/>
      <c r="B4" s="598" t="s">
        <v>499</v>
      </c>
      <c r="C4" s="599"/>
      <c r="D4" s="599"/>
      <c r="E4" s="599"/>
      <c r="F4" s="1145" t="s">
        <v>502</v>
      </c>
      <c r="G4" s="1146"/>
      <c r="H4" s="1161"/>
      <c r="J4" s="594" t="s">
        <v>450</v>
      </c>
      <c r="K4" s="600">
        <f>SUM(H6:H15)</f>
        <v>1</v>
      </c>
    </row>
    <row r="5" spans="1:8" ht="21.75" customHeight="1">
      <c r="A5" s="1151"/>
      <c r="B5" s="601" t="s">
        <v>26</v>
      </c>
      <c r="C5" s="601" t="s">
        <v>27</v>
      </c>
      <c r="D5" s="601" t="s">
        <v>28</v>
      </c>
      <c r="E5" s="601" t="s">
        <v>29</v>
      </c>
      <c r="F5" s="1139" t="s">
        <v>30</v>
      </c>
      <c r="G5" s="1139"/>
      <c r="H5" s="602" t="s">
        <v>31</v>
      </c>
    </row>
    <row r="6" spans="1:8" ht="21.75" customHeight="1">
      <c r="A6" s="603" t="str">
        <f>'試算'!C23</f>
        <v>1</v>
      </c>
      <c r="B6" s="604">
        <f>'試算'!C25</f>
        <v>250000</v>
      </c>
      <c r="C6" s="605">
        <f>'試算'!C26</f>
        <v>1</v>
      </c>
      <c r="D6" s="606">
        <f>'試算'!C32</f>
        <v>100</v>
      </c>
      <c r="E6" s="605">
        <f>'試算'!C33</f>
        <v>0.95</v>
      </c>
      <c r="F6" s="1147">
        <f>ROUND('試算'!C34,-3)</f>
        <v>23750000</v>
      </c>
      <c r="G6" s="1147"/>
      <c r="H6" s="607">
        <f>1-SUM(H7:H15)</f>
        <v>1</v>
      </c>
    </row>
    <row r="7" spans="1:8" ht="21.75" customHeight="1">
      <c r="A7" s="603">
        <f>'試算'!D23</f>
        <v>0</v>
      </c>
      <c r="B7" s="604">
        <f>'試算'!D25</f>
        <v>0</v>
      </c>
      <c r="C7" s="605">
        <f>'試算'!D26</f>
        <v>1</v>
      </c>
      <c r="D7" s="606">
        <f>'試算'!D32</f>
        <v>0</v>
      </c>
      <c r="E7" s="605">
        <f>'試算'!D33</f>
        <v>0.95</v>
      </c>
      <c r="F7" s="1147">
        <f>ROUND('試算'!D34,-3)</f>
        <v>0</v>
      </c>
      <c r="G7" s="1147"/>
      <c r="H7" s="608">
        <f aca="true" t="shared" si="0" ref="H7:H15">ROUND(F7/建付地価格合計,3)</f>
        <v>0</v>
      </c>
    </row>
    <row r="8" spans="1:8" ht="21.75" customHeight="1">
      <c r="A8" s="603">
        <f>'試算'!E23</f>
        <v>0</v>
      </c>
      <c r="B8" s="604">
        <f>'試算'!E25</f>
        <v>0</v>
      </c>
      <c r="C8" s="605">
        <f>'試算'!E26</f>
        <v>1</v>
      </c>
      <c r="D8" s="606">
        <f>'試算'!E32</f>
        <v>0</v>
      </c>
      <c r="E8" s="605">
        <f>'試算'!E33</f>
        <v>0.95</v>
      </c>
      <c r="F8" s="1147">
        <f>ROUND('試算'!E34,-3)</f>
        <v>0</v>
      </c>
      <c r="G8" s="1147"/>
      <c r="H8" s="608">
        <f t="shared" si="0"/>
        <v>0</v>
      </c>
    </row>
    <row r="9" spans="1:8" ht="21.75" customHeight="1">
      <c r="A9" s="603">
        <f>'試算'!F23</f>
        <v>0</v>
      </c>
      <c r="B9" s="604">
        <f>'試算'!F25</f>
        <v>0</v>
      </c>
      <c r="C9" s="605">
        <f>'試算'!F26</f>
        <v>1</v>
      </c>
      <c r="D9" s="606">
        <f>'試算'!F32</f>
        <v>0</v>
      </c>
      <c r="E9" s="605">
        <f>'試算'!F33</f>
        <v>0.95</v>
      </c>
      <c r="F9" s="1147">
        <f>ROUND('試算'!F34,-3)</f>
        <v>0</v>
      </c>
      <c r="G9" s="1147"/>
      <c r="H9" s="608">
        <f t="shared" si="0"/>
        <v>0</v>
      </c>
    </row>
    <row r="10" spans="1:8" ht="21.75" customHeight="1">
      <c r="A10" s="603">
        <f>'試算'!G23</f>
        <v>0</v>
      </c>
      <c r="B10" s="604">
        <f>'試算'!G25</f>
        <v>0</v>
      </c>
      <c r="C10" s="605">
        <f>'試算'!G26</f>
        <v>1</v>
      </c>
      <c r="D10" s="606">
        <f>'試算'!G32</f>
        <v>0</v>
      </c>
      <c r="E10" s="605">
        <f>'試算'!G33</f>
        <v>0.95</v>
      </c>
      <c r="F10" s="1147">
        <f>ROUND('試算'!G34,-3)</f>
        <v>0</v>
      </c>
      <c r="G10" s="1147"/>
      <c r="H10" s="608">
        <f t="shared" si="0"/>
        <v>0</v>
      </c>
    </row>
    <row r="11" spans="1:8" ht="21.75" customHeight="1">
      <c r="A11" s="603">
        <f>'試算'!H23</f>
        <v>0</v>
      </c>
      <c r="B11" s="604">
        <f>'試算'!H25</f>
        <v>0</v>
      </c>
      <c r="C11" s="605">
        <f>'試算'!H26</f>
        <v>1</v>
      </c>
      <c r="D11" s="606">
        <f>'試算'!H32</f>
        <v>0</v>
      </c>
      <c r="E11" s="605">
        <f>'試算'!H33</f>
        <v>0.95</v>
      </c>
      <c r="F11" s="1147">
        <f>ROUND('試算'!H34,-3)</f>
        <v>0</v>
      </c>
      <c r="G11" s="1147"/>
      <c r="H11" s="608">
        <f t="shared" si="0"/>
        <v>0</v>
      </c>
    </row>
    <row r="12" spans="1:8" ht="21.75" customHeight="1">
      <c r="A12" s="603">
        <f>'試算'!I23</f>
        <v>0</v>
      </c>
      <c r="B12" s="604">
        <f>'試算'!I25</f>
        <v>0</v>
      </c>
      <c r="C12" s="605">
        <f>'試算'!I26</f>
        <v>1</v>
      </c>
      <c r="D12" s="606">
        <f>'試算'!I32</f>
        <v>0</v>
      </c>
      <c r="E12" s="605">
        <f>'試算'!I33</f>
        <v>0.95</v>
      </c>
      <c r="F12" s="1147">
        <f>ROUND('試算'!I34,-3)</f>
        <v>0</v>
      </c>
      <c r="G12" s="1147"/>
      <c r="H12" s="608">
        <f t="shared" si="0"/>
        <v>0</v>
      </c>
    </row>
    <row r="13" spans="1:8" ht="21.75" customHeight="1">
      <c r="A13" s="603">
        <f>'試算'!J23</f>
        <v>0</v>
      </c>
      <c r="B13" s="604">
        <f>'試算'!J25</f>
        <v>0</v>
      </c>
      <c r="C13" s="605">
        <f>'試算'!J26</f>
        <v>1</v>
      </c>
      <c r="D13" s="606">
        <f>'試算'!J32</f>
        <v>0</v>
      </c>
      <c r="E13" s="605">
        <f>'試算'!J33</f>
        <v>0.95</v>
      </c>
      <c r="F13" s="1147">
        <f>ROUND('試算'!J34,-3)</f>
        <v>0</v>
      </c>
      <c r="G13" s="1147"/>
      <c r="H13" s="608">
        <f t="shared" si="0"/>
        <v>0</v>
      </c>
    </row>
    <row r="14" spans="1:8" ht="21.75" customHeight="1">
      <c r="A14" s="603">
        <f>'試算'!K23</f>
        <v>0</v>
      </c>
      <c r="B14" s="604">
        <f>'試算'!K25</f>
        <v>0</v>
      </c>
      <c r="C14" s="605">
        <f>'試算'!K26</f>
        <v>1</v>
      </c>
      <c r="D14" s="606">
        <f>'試算'!K32</f>
        <v>0</v>
      </c>
      <c r="E14" s="605">
        <f>'試算'!K33</f>
        <v>0.95</v>
      </c>
      <c r="F14" s="1147">
        <f>ROUND('試算'!K34,-3)</f>
        <v>0</v>
      </c>
      <c r="G14" s="1147"/>
      <c r="H14" s="608">
        <f t="shared" si="0"/>
        <v>0</v>
      </c>
    </row>
    <row r="15" spans="1:8" ht="21.75" customHeight="1">
      <c r="A15" s="609">
        <f>'試算'!L23</f>
        <v>0</v>
      </c>
      <c r="B15" s="610">
        <f>'試算'!L25</f>
        <v>0</v>
      </c>
      <c r="C15" s="577">
        <f>'試算'!L26</f>
        <v>1</v>
      </c>
      <c r="D15" s="611">
        <f>'試算'!L32</f>
        <v>0</v>
      </c>
      <c r="E15" s="577">
        <f>'試算'!L33</f>
        <v>0.95</v>
      </c>
      <c r="F15" s="1164">
        <f>ROUND('試算'!L34,-3)</f>
        <v>0</v>
      </c>
      <c r="G15" s="1164"/>
      <c r="H15" s="612">
        <f t="shared" si="0"/>
        <v>0</v>
      </c>
    </row>
    <row r="16" ht="21.75" customHeight="1">
      <c r="B16" s="594" t="s">
        <v>442</v>
      </c>
    </row>
    <row r="17" spans="2:8" ht="21.75" customHeight="1">
      <c r="B17" s="613" t="s">
        <v>443</v>
      </c>
      <c r="C17" s="1148" t="str">
        <f>'試算'!A27</f>
        <v>規模・形状</v>
      </c>
      <c r="D17" s="1148" t="str">
        <f>'試算'!A28</f>
        <v>間口・奥行</v>
      </c>
      <c r="E17" s="1148" t="str">
        <f>'試算'!A29</f>
        <v>方位高低差</v>
      </c>
      <c r="F17" s="1148" t="str">
        <f>'試算'!A30</f>
        <v>接面街路他</v>
      </c>
      <c r="G17" s="1148" t="s">
        <v>444</v>
      </c>
      <c r="H17" s="1165"/>
    </row>
    <row r="18" spans="2:8" ht="21.75" customHeight="1">
      <c r="B18" s="614" t="s">
        <v>942</v>
      </c>
      <c r="C18" s="1149"/>
      <c r="D18" s="1149"/>
      <c r="E18" s="1149"/>
      <c r="F18" s="1149"/>
      <c r="G18" s="1149"/>
      <c r="H18" s="1166"/>
    </row>
    <row r="19" spans="2:8" ht="21.75" customHeight="1">
      <c r="B19" s="603" t="str">
        <f>'試算'!C23</f>
        <v>1</v>
      </c>
      <c r="C19" s="615">
        <f>'試算'!C27</f>
        <v>0</v>
      </c>
      <c r="D19" s="615">
        <f>'試算'!C28</f>
        <v>0</v>
      </c>
      <c r="E19" s="615">
        <f>'試算'!C29</f>
        <v>0</v>
      </c>
      <c r="F19" s="615">
        <f>'試算'!C30</f>
        <v>0</v>
      </c>
      <c r="G19" s="1155">
        <f>'試算'!C26</f>
        <v>1</v>
      </c>
      <c r="H19" s="1156"/>
    </row>
    <row r="20" spans="2:8" ht="21.75" customHeight="1">
      <c r="B20" s="603">
        <f>'試算'!D23</f>
        <v>0</v>
      </c>
      <c r="C20" s="615">
        <f>'試算'!D27</f>
        <v>0</v>
      </c>
      <c r="D20" s="615">
        <f>'試算'!D28</f>
        <v>0</v>
      </c>
      <c r="E20" s="615">
        <f>'試算'!D29</f>
        <v>0</v>
      </c>
      <c r="F20" s="615">
        <f>'試算'!D30</f>
        <v>0</v>
      </c>
      <c r="G20" s="1155">
        <f>'試算'!D26</f>
        <v>1</v>
      </c>
      <c r="H20" s="1156"/>
    </row>
    <row r="21" spans="2:8" ht="21.75" customHeight="1">
      <c r="B21" s="590">
        <f>'試算'!E23</f>
        <v>0</v>
      </c>
      <c r="C21" s="615">
        <f>'試算'!E27</f>
        <v>0</v>
      </c>
      <c r="D21" s="615">
        <f>'試算'!E28</f>
        <v>0</v>
      </c>
      <c r="E21" s="615">
        <f>'試算'!E29</f>
        <v>0</v>
      </c>
      <c r="F21" s="615">
        <f>'試算'!E30</f>
        <v>0</v>
      </c>
      <c r="G21" s="1155">
        <f>'試算'!E26</f>
        <v>1</v>
      </c>
      <c r="H21" s="1156"/>
    </row>
    <row r="22" spans="2:8" ht="21.75" customHeight="1">
      <c r="B22" s="590">
        <f>'試算'!F23</f>
        <v>0</v>
      </c>
      <c r="C22" s="615">
        <f>'試算'!F27</f>
        <v>0</v>
      </c>
      <c r="D22" s="615">
        <f>'試算'!F28</f>
        <v>0</v>
      </c>
      <c r="E22" s="615">
        <f>'試算'!F29</f>
        <v>0</v>
      </c>
      <c r="F22" s="615">
        <f>'試算'!F30</f>
        <v>0</v>
      </c>
      <c r="G22" s="1155">
        <f>'試算'!F26</f>
        <v>1</v>
      </c>
      <c r="H22" s="1156"/>
    </row>
    <row r="23" spans="2:8" ht="21.75" customHeight="1">
      <c r="B23" s="590">
        <f>'試算'!G23</f>
        <v>0</v>
      </c>
      <c r="C23" s="615">
        <f>'試算'!G27</f>
        <v>0</v>
      </c>
      <c r="D23" s="615">
        <f>'試算'!G28</f>
        <v>0</v>
      </c>
      <c r="E23" s="615">
        <f>'試算'!G29</f>
        <v>0</v>
      </c>
      <c r="F23" s="615">
        <f>'試算'!G30</f>
        <v>0</v>
      </c>
      <c r="G23" s="1155">
        <f>'試算'!G26</f>
        <v>1</v>
      </c>
      <c r="H23" s="1156"/>
    </row>
    <row r="24" spans="2:8" ht="21.75" customHeight="1">
      <c r="B24" s="590">
        <f>'試算'!H23</f>
        <v>0</v>
      </c>
      <c r="C24" s="615">
        <f>'試算'!H27</f>
        <v>0</v>
      </c>
      <c r="D24" s="615">
        <f>'試算'!H28</f>
        <v>0</v>
      </c>
      <c r="E24" s="615">
        <f>'試算'!H29</f>
        <v>0</v>
      </c>
      <c r="F24" s="615">
        <f>'試算'!H30</f>
        <v>0</v>
      </c>
      <c r="G24" s="1155">
        <f>'試算'!H26</f>
        <v>1</v>
      </c>
      <c r="H24" s="1156"/>
    </row>
    <row r="25" spans="2:8" ht="21.75" customHeight="1">
      <c r="B25" s="590">
        <f>'試算'!I23</f>
        <v>0</v>
      </c>
      <c r="C25" s="615">
        <f>'試算'!I27</f>
        <v>0</v>
      </c>
      <c r="D25" s="615">
        <f>'試算'!I28</f>
        <v>0</v>
      </c>
      <c r="E25" s="615">
        <f>'試算'!I29</f>
        <v>0</v>
      </c>
      <c r="F25" s="615">
        <f>'試算'!I30</f>
        <v>0</v>
      </c>
      <c r="G25" s="1155">
        <f>'試算'!I26</f>
        <v>1</v>
      </c>
      <c r="H25" s="1156"/>
    </row>
    <row r="26" spans="2:8" ht="21.75" customHeight="1">
      <c r="B26" s="590">
        <f>'試算'!J23</f>
        <v>0</v>
      </c>
      <c r="C26" s="615">
        <f>'試算'!J27</f>
        <v>0</v>
      </c>
      <c r="D26" s="615">
        <f>'試算'!J28</f>
        <v>0</v>
      </c>
      <c r="E26" s="615">
        <f>'試算'!J29</f>
        <v>0</v>
      </c>
      <c r="F26" s="615">
        <f>'試算'!J30</f>
        <v>0</v>
      </c>
      <c r="G26" s="1155">
        <f>'試算'!J26</f>
        <v>1</v>
      </c>
      <c r="H26" s="1156"/>
    </row>
    <row r="27" spans="2:8" ht="21.75" customHeight="1">
      <c r="B27" s="590">
        <f>'試算'!K23</f>
        <v>0</v>
      </c>
      <c r="C27" s="615">
        <f>'試算'!K27</f>
        <v>0</v>
      </c>
      <c r="D27" s="615">
        <f>'試算'!K28</f>
        <v>0</v>
      </c>
      <c r="E27" s="615">
        <f>'試算'!K29</f>
        <v>0</v>
      </c>
      <c r="F27" s="615">
        <f>'試算'!K30</f>
        <v>0</v>
      </c>
      <c r="G27" s="1155">
        <f>'試算'!K26</f>
        <v>1</v>
      </c>
      <c r="H27" s="1156"/>
    </row>
    <row r="28" spans="2:8" ht="21.75" customHeight="1">
      <c r="B28" s="617">
        <f>'試算'!L23</f>
        <v>0</v>
      </c>
      <c r="C28" s="618">
        <f>'試算'!L27</f>
        <v>0</v>
      </c>
      <c r="D28" s="618">
        <f>'試算'!L28</f>
        <v>0</v>
      </c>
      <c r="E28" s="618">
        <f>'試算'!L29</f>
        <v>0</v>
      </c>
      <c r="F28" s="618">
        <f>'試算'!L30</f>
        <v>0</v>
      </c>
      <c r="G28" s="1162">
        <f>'試算'!L26</f>
        <v>1</v>
      </c>
      <c r="H28" s="1163"/>
    </row>
    <row r="29" ht="21.75" customHeight="1">
      <c r="A29" s="594" t="s">
        <v>504</v>
      </c>
    </row>
    <row r="30" spans="1:11" ht="21.75" customHeight="1">
      <c r="A30" s="1152" t="s">
        <v>942</v>
      </c>
      <c r="B30" s="1137" t="s">
        <v>445</v>
      </c>
      <c r="C30" s="1137"/>
      <c r="D30" s="597" t="s">
        <v>446</v>
      </c>
      <c r="E30" s="597" t="s">
        <v>447</v>
      </c>
      <c r="F30" s="1137" t="s">
        <v>448</v>
      </c>
      <c r="G30" s="1137"/>
      <c r="H30" s="1157" t="s">
        <v>422</v>
      </c>
      <c r="J30" s="594" t="s">
        <v>452</v>
      </c>
      <c r="K30" s="595">
        <f>SUM(F33:F42)</f>
        <v>2238000</v>
      </c>
    </row>
    <row r="31" spans="1:8" ht="21.75" customHeight="1">
      <c r="A31" s="1153"/>
      <c r="B31" s="1142" t="s">
        <v>499</v>
      </c>
      <c r="C31" s="1142"/>
      <c r="D31" s="598" t="s">
        <v>454</v>
      </c>
      <c r="E31" s="599"/>
      <c r="F31" s="1138" t="s">
        <v>502</v>
      </c>
      <c r="G31" s="1138"/>
      <c r="H31" s="1158"/>
    </row>
    <row r="32" spans="1:8" ht="21.75" customHeight="1">
      <c r="A32" s="1154"/>
      <c r="B32" s="1139" t="s">
        <v>129</v>
      </c>
      <c r="C32" s="1139"/>
      <c r="D32" s="601" t="s">
        <v>130</v>
      </c>
      <c r="E32" s="601" t="s">
        <v>131</v>
      </c>
      <c r="F32" s="1139" t="s">
        <v>132</v>
      </c>
      <c r="G32" s="1139"/>
      <c r="H32" s="1159"/>
    </row>
    <row r="33" spans="1:8" ht="21.75" customHeight="1">
      <c r="A33" s="603" t="str">
        <f>'試算'!C50</f>
        <v>2</v>
      </c>
      <c r="B33" s="1143">
        <f>'試算'!C53</f>
        <v>150000</v>
      </c>
      <c r="C33" s="1143"/>
      <c r="D33" s="606">
        <f>'試算'!C55</f>
        <v>100</v>
      </c>
      <c r="E33" s="585">
        <f>'試算'!C64</f>
        <v>0.1492</v>
      </c>
      <c r="F33" s="1140">
        <f>ROUND('試算'!C65,-3)</f>
        <v>2238000</v>
      </c>
      <c r="G33" s="1140"/>
      <c r="H33" s="620">
        <f>'試算'!C90</f>
        <v>1</v>
      </c>
    </row>
    <row r="34" spans="1:8" ht="21.75" customHeight="1">
      <c r="A34" s="603">
        <f>'試算'!D50</f>
        <v>0</v>
      </c>
      <c r="B34" s="1143">
        <f>'試算'!D53</f>
        <v>0</v>
      </c>
      <c r="C34" s="1143"/>
      <c r="D34" s="606">
        <f>'試算'!D55</f>
        <v>0</v>
      </c>
      <c r="E34" s="585">
        <f>'試算'!D64</f>
        <v>0</v>
      </c>
      <c r="F34" s="1140">
        <f>ROUND('試算'!D65,-3)</f>
        <v>0</v>
      </c>
      <c r="G34" s="1140"/>
      <c r="H34" s="620">
        <f>'試算'!D90</f>
        <v>0</v>
      </c>
    </row>
    <row r="35" spans="1:8" ht="21.75" customHeight="1">
      <c r="A35" s="590">
        <f>'試算'!E50</f>
        <v>0</v>
      </c>
      <c r="B35" s="1143">
        <f>'試算'!E53</f>
        <v>0</v>
      </c>
      <c r="C35" s="1143"/>
      <c r="D35" s="606">
        <f>'試算'!E55</f>
        <v>0</v>
      </c>
      <c r="E35" s="585">
        <f>'試算'!E64</f>
        <v>0</v>
      </c>
      <c r="F35" s="1140">
        <f>ROUND('試算'!E65,-3)</f>
        <v>0</v>
      </c>
      <c r="G35" s="1140"/>
      <c r="H35" s="620">
        <f>'試算'!E90</f>
        <v>0</v>
      </c>
    </row>
    <row r="36" spans="1:8" ht="21.75" customHeight="1">
      <c r="A36" s="590">
        <f>'試算'!F50</f>
        <v>0</v>
      </c>
      <c r="B36" s="1143">
        <f>'試算'!F53</f>
        <v>0</v>
      </c>
      <c r="C36" s="1143"/>
      <c r="D36" s="606">
        <f>'試算'!F55</f>
        <v>0</v>
      </c>
      <c r="E36" s="585">
        <f>'試算'!F64</f>
        <v>0</v>
      </c>
      <c r="F36" s="1140">
        <f>ROUND('試算'!F65,-3)</f>
        <v>0</v>
      </c>
      <c r="G36" s="1140"/>
      <c r="H36" s="620">
        <f>'試算'!F90</f>
        <v>0</v>
      </c>
    </row>
    <row r="37" spans="1:8" ht="21.75" customHeight="1">
      <c r="A37" s="590">
        <f>'試算'!G50</f>
        <v>0</v>
      </c>
      <c r="B37" s="1143">
        <f>'試算'!G53</f>
        <v>0</v>
      </c>
      <c r="C37" s="1143"/>
      <c r="D37" s="606">
        <f>'試算'!G55</f>
        <v>0</v>
      </c>
      <c r="E37" s="585">
        <f>'試算'!G64</f>
        <v>0</v>
      </c>
      <c r="F37" s="1140">
        <f>ROUND('試算'!G65,-3)</f>
        <v>0</v>
      </c>
      <c r="G37" s="1140"/>
      <c r="H37" s="620">
        <f>'試算'!G90</f>
        <v>0</v>
      </c>
    </row>
    <row r="38" spans="1:8" ht="21.75" customHeight="1">
      <c r="A38" s="590">
        <f>'試算'!H50</f>
        <v>0</v>
      </c>
      <c r="B38" s="1143">
        <f>'試算'!H53</f>
        <v>0</v>
      </c>
      <c r="C38" s="1143"/>
      <c r="D38" s="606">
        <f>'試算'!H55</f>
        <v>0</v>
      </c>
      <c r="E38" s="585">
        <f>'試算'!H64</f>
        <v>0</v>
      </c>
      <c r="F38" s="1140">
        <f>ROUND('試算'!H65,-3)</f>
        <v>0</v>
      </c>
      <c r="G38" s="1140"/>
      <c r="H38" s="620">
        <f>'試算'!H90</f>
        <v>0</v>
      </c>
    </row>
    <row r="39" spans="1:8" ht="21.75" customHeight="1">
      <c r="A39" s="590">
        <f>'試算'!I50</f>
        <v>0</v>
      </c>
      <c r="B39" s="1143">
        <f>'試算'!I53</f>
        <v>0</v>
      </c>
      <c r="C39" s="1143"/>
      <c r="D39" s="606">
        <f>'試算'!I55</f>
        <v>0</v>
      </c>
      <c r="E39" s="585">
        <f>'試算'!I64</f>
        <v>0</v>
      </c>
      <c r="F39" s="1140">
        <f>ROUND('試算'!I65,-3)</f>
        <v>0</v>
      </c>
      <c r="G39" s="1140"/>
      <c r="H39" s="620">
        <f>'試算'!I90</f>
        <v>0</v>
      </c>
    </row>
    <row r="40" spans="1:8" ht="21.75" customHeight="1">
      <c r="A40" s="590">
        <f>'試算'!J50</f>
        <v>0</v>
      </c>
      <c r="B40" s="1143">
        <f>'試算'!J53</f>
        <v>0</v>
      </c>
      <c r="C40" s="1143"/>
      <c r="D40" s="606">
        <f>'試算'!J55</f>
        <v>0</v>
      </c>
      <c r="E40" s="585">
        <f>'試算'!J64</f>
        <v>0</v>
      </c>
      <c r="F40" s="1140">
        <f>ROUND('試算'!J65,-3)</f>
        <v>0</v>
      </c>
      <c r="G40" s="1140"/>
      <c r="H40" s="620">
        <f>'試算'!J90</f>
        <v>0</v>
      </c>
    </row>
    <row r="41" spans="1:8" ht="21.75" customHeight="1">
      <c r="A41" s="590">
        <f>'試算'!K50</f>
        <v>0</v>
      </c>
      <c r="B41" s="1143">
        <f>'試算'!K53</f>
        <v>0</v>
      </c>
      <c r="C41" s="1143"/>
      <c r="D41" s="606">
        <f>'試算'!K55</f>
        <v>0</v>
      </c>
      <c r="E41" s="585">
        <f>'試算'!K64</f>
        <v>0</v>
      </c>
      <c r="F41" s="1140">
        <f>ROUND('試算'!K65,-3)</f>
        <v>0</v>
      </c>
      <c r="G41" s="1140"/>
      <c r="H41" s="620">
        <f>'試算'!K90</f>
        <v>0</v>
      </c>
    </row>
    <row r="42" spans="1:8" ht="21.75" customHeight="1">
      <c r="A42" s="617">
        <f>'試算'!L50</f>
        <v>0</v>
      </c>
      <c r="B42" s="1144">
        <f>'試算'!L53</f>
        <v>0</v>
      </c>
      <c r="C42" s="1144"/>
      <c r="D42" s="611">
        <f>'試算'!L55</f>
        <v>0</v>
      </c>
      <c r="E42" s="621">
        <f>'試算'!L64</f>
        <v>0</v>
      </c>
      <c r="F42" s="1141">
        <f>ROUND('試算'!L65,-3)</f>
        <v>0</v>
      </c>
      <c r="G42" s="1141"/>
      <c r="H42" s="620">
        <f>'試算'!L90</f>
        <v>0</v>
      </c>
    </row>
  </sheetData>
  <mergeCells count="58">
    <mergeCell ref="H30:H32"/>
    <mergeCell ref="H3:H4"/>
    <mergeCell ref="G27:H27"/>
    <mergeCell ref="G28:H28"/>
    <mergeCell ref="F15:G15"/>
    <mergeCell ref="G17:H18"/>
    <mergeCell ref="F11:G11"/>
    <mergeCell ref="F12:G12"/>
    <mergeCell ref="F13:G13"/>
    <mergeCell ref="F14:G14"/>
    <mergeCell ref="A3:A5"/>
    <mergeCell ref="A30:A32"/>
    <mergeCell ref="G23:H23"/>
    <mergeCell ref="G24:H24"/>
    <mergeCell ref="G25:H25"/>
    <mergeCell ref="G26:H26"/>
    <mergeCell ref="G19:H19"/>
    <mergeCell ref="G20:H20"/>
    <mergeCell ref="G21:H21"/>
    <mergeCell ref="G22:H22"/>
    <mergeCell ref="C17:C18"/>
    <mergeCell ref="D17:D18"/>
    <mergeCell ref="E17:E18"/>
    <mergeCell ref="F17:F18"/>
    <mergeCell ref="F7:G7"/>
    <mergeCell ref="F8:G8"/>
    <mergeCell ref="F9:G9"/>
    <mergeCell ref="F10:G10"/>
    <mergeCell ref="F3:G3"/>
    <mergeCell ref="F4:G4"/>
    <mergeCell ref="F5:G5"/>
    <mergeCell ref="F6:G6"/>
    <mergeCell ref="B39:C39"/>
    <mergeCell ref="B40:C40"/>
    <mergeCell ref="B41:C41"/>
    <mergeCell ref="B42:C42"/>
    <mergeCell ref="F42:G42"/>
    <mergeCell ref="B30:C30"/>
    <mergeCell ref="B31:C31"/>
    <mergeCell ref="B32:C32"/>
    <mergeCell ref="B33:C33"/>
    <mergeCell ref="B34:C34"/>
    <mergeCell ref="B35:C35"/>
    <mergeCell ref="B36:C36"/>
    <mergeCell ref="B37:C37"/>
    <mergeCell ref="B38:C38"/>
    <mergeCell ref="F38:G38"/>
    <mergeCell ref="F39:G39"/>
    <mergeCell ref="F40:G40"/>
    <mergeCell ref="F41:G41"/>
    <mergeCell ref="F34:G34"/>
    <mergeCell ref="F35:G35"/>
    <mergeCell ref="F36:G36"/>
    <mergeCell ref="F37:G37"/>
    <mergeCell ref="F30:G30"/>
    <mergeCell ref="F31:G31"/>
    <mergeCell ref="F32:G32"/>
    <mergeCell ref="F33:G33"/>
  </mergeCells>
  <printOptions/>
  <pageMargins left="1.1811023622047245" right="0.31496062992125984" top="0.7874015748031497" bottom="0.8267716535433072" header="0.4330708661417323" footer="0.5511811023622047"/>
  <pageSetup orientation="portrait" paperSize="9" scale="90" r:id="rId1"/>
  <headerFooter alignWithMargins="0">
    <oddFooter>&amp;L&amp;C&amp;R&amp;"Osaka,斜体"&amp;P</oddFooter>
  </headerFooter>
</worksheet>
</file>

<file path=xl/worksheets/sheet11.xml><?xml version="1.0" encoding="utf-8"?>
<worksheet xmlns="http://schemas.openxmlformats.org/spreadsheetml/2006/main" xmlns:r="http://schemas.openxmlformats.org/officeDocument/2006/relationships">
  <dimension ref="A1:M45"/>
  <sheetViews>
    <sheetView zoomScale="75" zoomScaleNormal="75" workbookViewId="0" topLeftCell="A1">
      <selection activeCell="F3" sqref="F3"/>
    </sheetView>
  </sheetViews>
  <sheetFormatPr defaultColWidth="8.796875" defaultRowHeight="15"/>
  <cols>
    <col min="1" max="1" width="8.69921875" style="498" customWidth="1"/>
    <col min="2" max="3" width="15.69921875" style="498" customWidth="1"/>
    <col min="4" max="9" width="10.69921875" style="498" customWidth="1"/>
    <col min="10" max="10" width="8.69921875" style="498" customWidth="1"/>
    <col min="11" max="11" width="18" style="498" customWidth="1"/>
    <col min="12" max="12" width="12.3984375" style="498" customWidth="1"/>
    <col min="13" max="13" width="11.69921875" style="498" bestFit="1" customWidth="1"/>
    <col min="14" max="16384" width="8.69921875" style="498" customWidth="1"/>
  </cols>
  <sheetData>
    <row r="1" ht="19.5" customHeight="1">
      <c r="A1" s="574" t="s">
        <v>941</v>
      </c>
    </row>
    <row r="2" spans="1:9" ht="46.5" customHeight="1">
      <c r="A2" s="1183" t="s">
        <v>274</v>
      </c>
      <c r="B2" s="1183"/>
      <c r="C2" s="1183"/>
      <c r="D2" s="1183"/>
      <c r="E2" s="1183"/>
      <c r="F2" s="1183"/>
      <c r="G2" s="1183"/>
      <c r="H2" s="1183"/>
      <c r="I2" s="575"/>
    </row>
    <row r="3" ht="18" customHeight="1">
      <c r="A3" s="498" t="s">
        <v>75</v>
      </c>
    </row>
    <row r="4" spans="1:9" ht="18" customHeight="1">
      <c r="A4" s="1180" t="s">
        <v>368</v>
      </c>
      <c r="B4" s="1167" t="s">
        <v>943</v>
      </c>
      <c r="C4" s="1167"/>
      <c r="D4" s="1167" t="s">
        <v>818</v>
      </c>
      <c r="E4" s="1167"/>
      <c r="F4" s="1167"/>
      <c r="G4" s="1167" t="s">
        <v>945</v>
      </c>
      <c r="H4" s="1167"/>
      <c r="I4" s="1168"/>
    </row>
    <row r="5" spans="1:9" ht="18" customHeight="1">
      <c r="A5" s="1181"/>
      <c r="B5" s="1131" t="s">
        <v>34</v>
      </c>
      <c r="C5" s="1131"/>
      <c r="D5" s="1131"/>
      <c r="E5" s="1131"/>
      <c r="F5" s="1131"/>
      <c r="G5" s="1131" t="s">
        <v>946</v>
      </c>
      <c r="H5" s="1131"/>
      <c r="I5" s="1184"/>
    </row>
    <row r="6" spans="1:9" ht="18" customHeight="1">
      <c r="A6" s="1182"/>
      <c r="B6" s="1135" t="s">
        <v>49</v>
      </c>
      <c r="C6" s="1135"/>
      <c r="D6" s="1135" t="s">
        <v>50</v>
      </c>
      <c r="E6" s="1135"/>
      <c r="F6" s="1135"/>
      <c r="G6" s="1135" t="s">
        <v>51</v>
      </c>
      <c r="H6" s="1135"/>
      <c r="I6" s="1136"/>
    </row>
    <row r="7" spans="1:11" ht="24" customHeight="1">
      <c r="A7" s="576">
        <f>'試算'!B50</f>
        <v>2</v>
      </c>
      <c r="B7" s="1144">
        <f>'一括-1'!F9</f>
        <v>23750000</v>
      </c>
      <c r="C7" s="1144"/>
      <c r="D7" s="577">
        <f>'試算'!B74</f>
        <v>0.55</v>
      </c>
      <c r="E7" s="1179" t="str">
        <f>'試算'!B73</f>
        <v>法定地上権</v>
      </c>
      <c r="F7" s="1179"/>
      <c r="G7" s="1144">
        <f>ROUND(B7*D7,-3)</f>
        <v>13063000</v>
      </c>
      <c r="H7" s="1144"/>
      <c r="I7" s="1177"/>
      <c r="K7" s="578">
        <f>ROUND('試算'!B75,0)</f>
        <v>13062500</v>
      </c>
    </row>
    <row r="8" spans="1:4" ht="18" customHeight="1">
      <c r="A8" s="498" t="s">
        <v>947</v>
      </c>
      <c r="D8" s="498" t="s">
        <v>35</v>
      </c>
    </row>
    <row r="9" spans="1:8" ht="18" customHeight="1">
      <c r="A9" s="1183" t="s">
        <v>74</v>
      </c>
      <c r="B9" s="1183"/>
      <c r="C9" s="1183"/>
      <c r="D9" s="1183"/>
      <c r="E9" s="1183"/>
      <c r="F9" s="1183"/>
      <c r="G9" s="1183"/>
      <c r="H9" s="1183"/>
    </row>
    <row r="10" spans="1:8" ht="18" customHeight="1">
      <c r="A10" s="1183"/>
      <c r="B10" s="1183"/>
      <c r="C10" s="1183"/>
      <c r="D10" s="1183"/>
      <c r="E10" s="1183"/>
      <c r="F10" s="1183"/>
      <c r="G10" s="1183"/>
      <c r="H10" s="1183"/>
    </row>
    <row r="11" ht="18" customHeight="1"/>
    <row r="12" ht="18" customHeight="1">
      <c r="A12" s="498" t="s">
        <v>449</v>
      </c>
    </row>
    <row r="13" spans="1:9" ht="30" customHeight="1">
      <c r="A13" s="1173" t="s">
        <v>367</v>
      </c>
      <c r="B13" s="767" t="s">
        <v>166</v>
      </c>
      <c r="C13" s="768" t="s">
        <v>48</v>
      </c>
      <c r="D13" s="579" t="s">
        <v>181</v>
      </c>
      <c r="E13" s="579" t="s">
        <v>163</v>
      </c>
      <c r="F13" s="579" t="s">
        <v>164</v>
      </c>
      <c r="G13" s="579" t="s">
        <v>165</v>
      </c>
      <c r="H13" s="1167" t="s">
        <v>43</v>
      </c>
      <c r="I13" s="1168"/>
    </row>
    <row r="14" spans="1:9" ht="18" customHeight="1">
      <c r="A14" s="1174"/>
      <c r="B14" s="769" t="s">
        <v>703</v>
      </c>
      <c r="C14" s="769" t="s">
        <v>704</v>
      </c>
      <c r="D14" s="580"/>
      <c r="E14" s="580"/>
      <c r="F14" s="580"/>
      <c r="G14" s="580"/>
      <c r="H14" s="1169" t="s">
        <v>52</v>
      </c>
      <c r="I14" s="1170"/>
    </row>
    <row r="15" spans="1:9" ht="18" customHeight="1">
      <c r="A15" s="1174"/>
      <c r="B15" s="581" t="s">
        <v>122</v>
      </c>
      <c r="C15" s="581" t="s">
        <v>123</v>
      </c>
      <c r="D15" s="581" t="s">
        <v>124</v>
      </c>
      <c r="E15" s="581" t="s">
        <v>125</v>
      </c>
      <c r="F15" s="581" t="s">
        <v>126</v>
      </c>
      <c r="G15" s="581" t="s">
        <v>127</v>
      </c>
      <c r="H15" s="1171" t="s">
        <v>128</v>
      </c>
      <c r="I15" s="1172"/>
    </row>
    <row r="16" spans="1:13" ht="24" customHeight="1">
      <c r="A16" s="582" t="str">
        <f>'試算'!C23</f>
        <v>1</v>
      </c>
      <c r="B16" s="762">
        <f>B7</f>
        <v>23750000</v>
      </c>
      <c r="C16" s="763">
        <f>G7*-1</f>
        <v>-13063000</v>
      </c>
      <c r="D16" s="583">
        <f>占有補正現価率</f>
        <v>1</v>
      </c>
      <c r="E16" s="584">
        <f>'試算'!B43</f>
        <v>1</v>
      </c>
      <c r="F16" s="584">
        <f>'試算'!B44</f>
        <v>1</v>
      </c>
      <c r="G16" s="585">
        <f>'一括-2'!H6</f>
        <v>1</v>
      </c>
      <c r="H16" s="1175">
        <f aca="true" t="shared" si="0" ref="H16:H25">ROUND(個別評価基礎*G16,-4)</f>
        <v>10690000</v>
      </c>
      <c r="I16" s="1176"/>
      <c r="K16" s="498" t="s">
        <v>451</v>
      </c>
      <c r="L16" s="586">
        <f>ROUNDDOWN((B16+C16)*D16*E16*F16,0)</f>
        <v>10687000</v>
      </c>
      <c r="M16" s="578">
        <f>SUM(H16:I25)</f>
        <v>10690000</v>
      </c>
    </row>
    <row r="17" spans="1:9" ht="24" customHeight="1">
      <c r="A17" s="582">
        <f>'試算'!D23</f>
        <v>0</v>
      </c>
      <c r="B17" s="764"/>
      <c r="C17" s="764"/>
      <c r="D17" s="587"/>
      <c r="E17" s="587"/>
      <c r="F17" s="587"/>
      <c r="G17" s="585">
        <f>'一括-2'!H7</f>
        <v>0</v>
      </c>
      <c r="H17" s="1175">
        <f t="shared" si="0"/>
        <v>0</v>
      </c>
      <c r="I17" s="1176"/>
    </row>
    <row r="18" spans="1:9" ht="24" customHeight="1">
      <c r="A18" s="582">
        <f>'試算'!E23</f>
        <v>0</v>
      </c>
      <c r="B18" s="764"/>
      <c r="C18" s="764"/>
      <c r="D18" s="587"/>
      <c r="E18" s="587"/>
      <c r="F18" s="587"/>
      <c r="G18" s="585">
        <f>'一括-2'!H8</f>
        <v>0</v>
      </c>
      <c r="H18" s="1175">
        <f t="shared" si="0"/>
        <v>0</v>
      </c>
      <c r="I18" s="1176"/>
    </row>
    <row r="19" spans="1:9" ht="24" customHeight="1">
      <c r="A19" s="582">
        <f>'試算'!F23</f>
        <v>0</v>
      </c>
      <c r="B19" s="764"/>
      <c r="C19" s="764"/>
      <c r="D19" s="587"/>
      <c r="E19" s="587"/>
      <c r="F19" s="587"/>
      <c r="G19" s="585">
        <f>'一括-2'!H9</f>
        <v>0</v>
      </c>
      <c r="H19" s="1175">
        <f t="shared" si="0"/>
        <v>0</v>
      </c>
      <c r="I19" s="1176"/>
    </row>
    <row r="20" spans="1:9" ht="24" customHeight="1">
      <c r="A20" s="582">
        <f>'試算'!G23</f>
        <v>0</v>
      </c>
      <c r="B20" s="764"/>
      <c r="C20" s="764"/>
      <c r="D20" s="587"/>
      <c r="E20" s="587"/>
      <c r="F20" s="587"/>
      <c r="G20" s="585">
        <f>'一括-2'!H10</f>
        <v>0</v>
      </c>
      <c r="H20" s="1175">
        <f t="shared" si="0"/>
        <v>0</v>
      </c>
      <c r="I20" s="1176"/>
    </row>
    <row r="21" spans="1:9" ht="24" customHeight="1">
      <c r="A21" s="582">
        <f>'試算'!H23</f>
        <v>0</v>
      </c>
      <c r="B21" s="764"/>
      <c r="C21" s="764"/>
      <c r="D21" s="587"/>
      <c r="E21" s="587"/>
      <c r="F21" s="587"/>
      <c r="G21" s="585">
        <f>'一括-2'!H11</f>
        <v>0</v>
      </c>
      <c r="H21" s="1175">
        <f t="shared" si="0"/>
        <v>0</v>
      </c>
      <c r="I21" s="1176"/>
    </row>
    <row r="22" spans="1:9" ht="24" customHeight="1">
      <c r="A22" s="582">
        <f>'試算'!I23</f>
        <v>0</v>
      </c>
      <c r="B22" s="764"/>
      <c r="C22" s="764"/>
      <c r="D22" s="587"/>
      <c r="E22" s="587"/>
      <c r="F22" s="587"/>
      <c r="G22" s="585">
        <f>'一括-2'!H12</f>
        <v>0</v>
      </c>
      <c r="H22" s="1175">
        <f t="shared" si="0"/>
        <v>0</v>
      </c>
      <c r="I22" s="1176"/>
    </row>
    <row r="23" spans="1:9" ht="24" customHeight="1">
      <c r="A23" s="582">
        <f>'試算'!J23</f>
        <v>0</v>
      </c>
      <c r="B23" s="764"/>
      <c r="C23" s="764"/>
      <c r="D23" s="587"/>
      <c r="E23" s="587"/>
      <c r="F23" s="587"/>
      <c r="G23" s="585">
        <f>'一括-2'!H13</f>
        <v>0</v>
      </c>
      <c r="H23" s="1175">
        <f t="shared" si="0"/>
        <v>0</v>
      </c>
      <c r="I23" s="1176"/>
    </row>
    <row r="24" spans="1:9" ht="24" customHeight="1">
      <c r="A24" s="582">
        <f>'試算'!K23</f>
        <v>0</v>
      </c>
      <c r="B24" s="764"/>
      <c r="C24" s="764"/>
      <c r="D24" s="587"/>
      <c r="E24" s="587"/>
      <c r="F24" s="587"/>
      <c r="G24" s="585">
        <f>'一括-2'!H14</f>
        <v>0</v>
      </c>
      <c r="H24" s="1175">
        <f t="shared" si="0"/>
        <v>0</v>
      </c>
      <c r="I24" s="1176"/>
    </row>
    <row r="25" spans="1:9" ht="24" customHeight="1">
      <c r="A25" s="582">
        <f>'試算'!L23</f>
        <v>0</v>
      </c>
      <c r="B25" s="765"/>
      <c r="C25" s="765"/>
      <c r="D25" s="588"/>
      <c r="E25" s="588"/>
      <c r="F25" s="588"/>
      <c r="G25" s="585">
        <f>'一括-2'!H15</f>
        <v>0</v>
      </c>
      <c r="H25" s="1175">
        <f t="shared" si="0"/>
        <v>0</v>
      </c>
      <c r="I25" s="1176"/>
    </row>
    <row r="26" spans="1:12" ht="24" customHeight="1">
      <c r="A26" s="582" t="str">
        <f>'試算'!C50</f>
        <v>2</v>
      </c>
      <c r="B26" s="766">
        <f>'一括-2'!F33</f>
        <v>2238000</v>
      </c>
      <c r="C26" s="766">
        <f>G7-L26</f>
        <v>13063000</v>
      </c>
      <c r="D26" s="589">
        <f>'試算'!C82</f>
        <v>1</v>
      </c>
      <c r="E26" s="589">
        <f>'試算'!C83</f>
        <v>1</v>
      </c>
      <c r="F26" s="589">
        <f>'試算'!C84</f>
        <v>1</v>
      </c>
      <c r="G26" s="585"/>
      <c r="H26" s="1175">
        <f>ROUND((B26+C26)*D26*E26*F26,-4)</f>
        <v>15300000</v>
      </c>
      <c r="I26" s="1176"/>
      <c r="K26" s="498" t="s">
        <v>969</v>
      </c>
      <c r="L26" s="578">
        <f>IF('基礎'!C50=0,0,SUM(C27:C35))</f>
        <v>0</v>
      </c>
    </row>
    <row r="27" spans="1:9" ht="24" customHeight="1">
      <c r="A27" s="582">
        <f>'試算'!D50</f>
        <v>0</v>
      </c>
      <c r="B27" s="766">
        <f>'一括-2'!F34</f>
        <v>0</v>
      </c>
      <c r="C27" s="766">
        <f>ROUND(G7*'一括-2'!H34,-3)</f>
        <v>0</v>
      </c>
      <c r="D27" s="589">
        <f>'試算'!D82</f>
        <v>1</v>
      </c>
      <c r="E27" s="589">
        <f>'試算'!D83</f>
        <v>0</v>
      </c>
      <c r="F27" s="589">
        <f>'試算'!D84</f>
        <v>0</v>
      </c>
      <c r="G27" s="585"/>
      <c r="H27" s="1175">
        <f aca="true" t="shared" si="1" ref="H27:H35">ROUND((B27+C27)*D27*E27*F27,-4)</f>
        <v>0</v>
      </c>
      <c r="I27" s="1176"/>
    </row>
    <row r="28" spans="1:9" ht="24" customHeight="1">
      <c r="A28" s="590">
        <f>'試算'!E50</f>
        <v>0</v>
      </c>
      <c r="B28" s="766">
        <f>'一括-2'!F35</f>
        <v>0</v>
      </c>
      <c r="C28" s="766">
        <f>ROUND(G7*'一括-2'!H35,-3)</f>
        <v>0</v>
      </c>
      <c r="D28" s="589">
        <f>'試算'!E82</f>
        <v>1</v>
      </c>
      <c r="E28" s="589">
        <f>'試算'!E83</f>
        <v>0</v>
      </c>
      <c r="F28" s="589">
        <f>'試算'!E84</f>
        <v>0</v>
      </c>
      <c r="G28" s="585"/>
      <c r="H28" s="1175">
        <f t="shared" si="1"/>
        <v>0</v>
      </c>
      <c r="I28" s="1176"/>
    </row>
    <row r="29" spans="1:9" ht="24" customHeight="1">
      <c r="A29" s="590">
        <f>'試算'!F50</f>
        <v>0</v>
      </c>
      <c r="B29" s="766">
        <f>'一括-2'!F36</f>
        <v>0</v>
      </c>
      <c r="C29" s="766">
        <f>ROUND(G7*'一括-2'!H36,-3)</f>
        <v>0</v>
      </c>
      <c r="D29" s="589">
        <f>'試算'!F82</f>
        <v>1</v>
      </c>
      <c r="E29" s="589">
        <f>'試算'!F83</f>
        <v>0</v>
      </c>
      <c r="F29" s="589">
        <f>'試算'!F84</f>
        <v>0</v>
      </c>
      <c r="G29" s="585"/>
      <c r="H29" s="1175">
        <f t="shared" si="1"/>
        <v>0</v>
      </c>
      <c r="I29" s="1176"/>
    </row>
    <row r="30" spans="1:9" ht="24" customHeight="1">
      <c r="A30" s="590">
        <f>'試算'!G50</f>
        <v>0</v>
      </c>
      <c r="B30" s="766">
        <f>'一括-2'!F37</f>
        <v>0</v>
      </c>
      <c r="C30" s="766">
        <f>ROUND(G7*'一括-2'!H37,-3)</f>
        <v>0</v>
      </c>
      <c r="D30" s="589">
        <f>'試算'!G82</f>
        <v>1</v>
      </c>
      <c r="E30" s="589">
        <f>'試算'!G83</f>
        <v>0</v>
      </c>
      <c r="F30" s="589">
        <f>'試算'!G84</f>
        <v>0</v>
      </c>
      <c r="G30" s="585"/>
      <c r="H30" s="1175">
        <f t="shared" si="1"/>
        <v>0</v>
      </c>
      <c r="I30" s="1176"/>
    </row>
    <row r="31" spans="1:9" ht="24" customHeight="1">
      <c r="A31" s="590">
        <f>'試算'!H50</f>
        <v>0</v>
      </c>
      <c r="B31" s="766">
        <f>'一括-2'!F38</f>
        <v>0</v>
      </c>
      <c r="C31" s="766">
        <f>ROUND(G7*'一括-2'!H38,-3)</f>
        <v>0</v>
      </c>
      <c r="D31" s="589">
        <f>'試算'!H82</f>
        <v>1</v>
      </c>
      <c r="E31" s="589">
        <f>'試算'!H83</f>
        <v>0</v>
      </c>
      <c r="F31" s="589">
        <f>'試算'!H84</f>
        <v>0</v>
      </c>
      <c r="G31" s="585"/>
      <c r="H31" s="1175">
        <f t="shared" si="1"/>
        <v>0</v>
      </c>
      <c r="I31" s="1176"/>
    </row>
    <row r="32" spans="1:9" ht="24" customHeight="1">
      <c r="A32" s="590">
        <f>'試算'!I50</f>
        <v>0</v>
      </c>
      <c r="B32" s="766">
        <f>'一括-2'!F39</f>
        <v>0</v>
      </c>
      <c r="C32" s="766">
        <f>ROUND(G7*'一括-2'!H39,-3)</f>
        <v>0</v>
      </c>
      <c r="D32" s="589">
        <f>'試算'!I82</f>
        <v>1</v>
      </c>
      <c r="E32" s="589">
        <f>'試算'!I83</f>
        <v>0</v>
      </c>
      <c r="F32" s="589">
        <f>'試算'!I84</f>
        <v>0</v>
      </c>
      <c r="G32" s="585"/>
      <c r="H32" s="1175">
        <f t="shared" si="1"/>
        <v>0</v>
      </c>
      <c r="I32" s="1176"/>
    </row>
    <row r="33" spans="1:9" ht="24" customHeight="1">
      <c r="A33" s="590">
        <f>'試算'!J50</f>
        <v>0</v>
      </c>
      <c r="B33" s="766">
        <f>'一括-2'!F40</f>
        <v>0</v>
      </c>
      <c r="C33" s="766">
        <f>ROUND(G7*'一括-2'!H40,-3)</f>
        <v>0</v>
      </c>
      <c r="D33" s="589">
        <f>'試算'!J82</f>
        <v>1</v>
      </c>
      <c r="E33" s="589">
        <f>'試算'!J83</f>
        <v>0</v>
      </c>
      <c r="F33" s="589">
        <f>'試算'!J84</f>
        <v>0</v>
      </c>
      <c r="G33" s="585"/>
      <c r="H33" s="1175">
        <f t="shared" si="1"/>
        <v>0</v>
      </c>
      <c r="I33" s="1176"/>
    </row>
    <row r="34" spans="1:9" ht="24" customHeight="1">
      <c r="A34" s="590">
        <f>'試算'!K50</f>
        <v>0</v>
      </c>
      <c r="B34" s="766">
        <f>'一括-2'!F41</f>
        <v>0</v>
      </c>
      <c r="C34" s="766">
        <f>ROUND(G7*'一括-2'!H41,-3)</f>
        <v>0</v>
      </c>
      <c r="D34" s="589">
        <f>'試算'!K82</f>
        <v>1</v>
      </c>
      <c r="E34" s="589">
        <f>'試算'!K83</f>
        <v>0</v>
      </c>
      <c r="F34" s="589">
        <f>'試算'!K84</f>
        <v>0</v>
      </c>
      <c r="G34" s="585"/>
      <c r="H34" s="1175">
        <f t="shared" si="1"/>
        <v>0</v>
      </c>
      <c r="I34" s="1176"/>
    </row>
    <row r="35" spans="1:9" ht="24" customHeight="1">
      <c r="A35" s="590">
        <f>'試算'!L50</f>
        <v>0</v>
      </c>
      <c r="B35" s="766">
        <f>'一括-2'!F42</f>
        <v>0</v>
      </c>
      <c r="C35" s="766">
        <f>ROUND(G7*'一括-2'!H42,-3)</f>
        <v>0</v>
      </c>
      <c r="D35" s="589">
        <f>'試算'!L82</f>
        <v>1</v>
      </c>
      <c r="E35" s="589">
        <f>'試算'!L83</f>
        <v>0</v>
      </c>
      <c r="F35" s="589">
        <f>'試算'!L84</f>
        <v>0</v>
      </c>
      <c r="G35" s="585"/>
      <c r="H35" s="1175">
        <f t="shared" si="1"/>
        <v>0</v>
      </c>
      <c r="I35" s="1176"/>
    </row>
    <row r="36" spans="1:13" ht="24" customHeight="1">
      <c r="A36" s="1178" t="s">
        <v>453</v>
      </c>
      <c r="B36" s="1179"/>
      <c r="C36" s="1179"/>
      <c r="D36" s="1179"/>
      <c r="E36" s="1179"/>
      <c r="F36" s="1179"/>
      <c r="G36" s="1179"/>
      <c r="H36" s="1144">
        <f>SUM(H16:H35)</f>
        <v>25990000</v>
      </c>
      <c r="I36" s="1177"/>
      <c r="K36" s="498" t="s">
        <v>970</v>
      </c>
      <c r="L36" s="578">
        <f>SUM(C26:C35)</f>
        <v>13063000</v>
      </c>
      <c r="M36" s="498">
        <f>一括評価額</f>
        <v>25990000</v>
      </c>
    </row>
    <row r="37" ht="18" customHeight="1"/>
    <row r="38" spans="1:11" ht="18" customHeight="1">
      <c r="A38" s="498" t="s">
        <v>418</v>
      </c>
      <c r="K38" s="578"/>
    </row>
    <row r="39" spans="1:11" ht="18" customHeight="1">
      <c r="A39" s="498" t="s">
        <v>182</v>
      </c>
      <c r="K39" s="578"/>
    </row>
    <row r="40" spans="1:11" ht="18" customHeight="1">
      <c r="A40" s="591" t="str">
        <f>'試算'!C95</f>
        <v>※第三者占有による補正の必要性は認められない。</v>
      </c>
      <c r="K40" s="586"/>
    </row>
    <row r="41" spans="1:11" ht="18" customHeight="1">
      <c r="A41" s="498" t="s">
        <v>986</v>
      </c>
      <c r="D41" s="592">
        <f>用途性補正率</f>
        <v>1</v>
      </c>
      <c r="K41" s="578"/>
    </row>
    <row r="42" ht="18" customHeight="1">
      <c r="A42" s="591" t="str">
        <f>'試算'!F96</f>
        <v>対象不動産の特性に鑑みて需要が乏しいと認められる場合は補正を行う。</v>
      </c>
    </row>
    <row r="43" ht="18" customHeight="1">
      <c r="A43" s="478" t="str">
        <f>'試算'!C97</f>
        <v>※本件の場合は、特段の市場性修正は不要と認める。</v>
      </c>
    </row>
    <row r="44" spans="1:4" ht="18" customHeight="1">
      <c r="A44" s="498" t="s">
        <v>886</v>
      </c>
      <c r="D44" s="592">
        <f>競売固有補正率</f>
        <v>1</v>
      </c>
    </row>
    <row r="45" ht="18" customHeight="1">
      <c r="A45" s="478" t="s">
        <v>1002</v>
      </c>
    </row>
  </sheetData>
  <mergeCells count="41">
    <mergeCell ref="A4:A6"/>
    <mergeCell ref="A9:H10"/>
    <mergeCell ref="A2:H2"/>
    <mergeCell ref="D6:F6"/>
    <mergeCell ref="E7:F7"/>
    <mergeCell ref="G4:I4"/>
    <mergeCell ref="G5:I5"/>
    <mergeCell ref="G6:I6"/>
    <mergeCell ref="G7:I7"/>
    <mergeCell ref="H36:I36"/>
    <mergeCell ref="A36:G36"/>
    <mergeCell ref="B4:C4"/>
    <mergeCell ref="B5:C5"/>
    <mergeCell ref="B6:C6"/>
    <mergeCell ref="B7:C7"/>
    <mergeCell ref="D4:F4"/>
    <mergeCell ref="D5:F5"/>
    <mergeCell ref="H32:I32"/>
    <mergeCell ref="H33:I33"/>
    <mergeCell ref="H34:I34"/>
    <mergeCell ref="H35:I35"/>
    <mergeCell ref="H28:I28"/>
    <mergeCell ref="H29:I29"/>
    <mergeCell ref="H30:I30"/>
    <mergeCell ref="H31:I31"/>
    <mergeCell ref="H24:I24"/>
    <mergeCell ref="H25:I25"/>
    <mergeCell ref="H26:I26"/>
    <mergeCell ref="H27:I27"/>
    <mergeCell ref="H20:I20"/>
    <mergeCell ref="H21:I21"/>
    <mergeCell ref="H22:I22"/>
    <mergeCell ref="H23:I23"/>
    <mergeCell ref="H16:I16"/>
    <mergeCell ref="H17:I17"/>
    <mergeCell ref="H18:I18"/>
    <mergeCell ref="H19:I19"/>
    <mergeCell ref="H13:I13"/>
    <mergeCell ref="H14:I14"/>
    <mergeCell ref="H15:I15"/>
    <mergeCell ref="A13:A15"/>
  </mergeCells>
  <printOptions/>
  <pageMargins left="1.141732283464567" right="0.31496062992125984" top="0.7874015748031497" bottom="0.8267716535433072" header="0.4330708661417323" footer="0.5511811023622047"/>
  <pageSetup orientation="portrait" paperSize="9" scale="75" r:id="rId1"/>
  <headerFooter alignWithMargins="0">
    <oddFooter>&amp;L&amp;C&amp;R&amp;"Osaka,斜体"&amp;P</oddFooter>
  </headerFooter>
</worksheet>
</file>

<file path=xl/worksheets/sheet12.xml><?xml version="1.0" encoding="utf-8"?>
<worksheet xmlns="http://schemas.openxmlformats.org/spreadsheetml/2006/main" xmlns:r="http://schemas.openxmlformats.org/officeDocument/2006/relationships">
  <dimension ref="A1:H25"/>
  <sheetViews>
    <sheetView zoomScale="75" zoomScaleNormal="75" workbookViewId="0" topLeftCell="A1">
      <selection activeCell="F3" sqref="F3"/>
    </sheetView>
  </sheetViews>
  <sheetFormatPr defaultColWidth="8.796875" defaultRowHeight="15"/>
  <cols>
    <col min="1" max="16384" width="8.59765625" style="497" customWidth="1"/>
  </cols>
  <sheetData>
    <row r="1" spans="1:8" s="498" customFormat="1" ht="24" customHeight="1">
      <c r="A1" s="486" t="s">
        <v>636</v>
      </c>
      <c r="B1" s="497"/>
      <c r="C1" s="497"/>
      <c r="D1" s="497"/>
      <c r="E1" s="497"/>
      <c r="F1" s="497"/>
      <c r="G1" s="497"/>
      <c r="H1" s="497"/>
    </row>
    <row r="2" spans="1:8" s="498" customFormat="1" ht="24" customHeight="1">
      <c r="A2" s="486"/>
      <c r="B2" s="497"/>
      <c r="C2" s="497"/>
      <c r="D2" s="497"/>
      <c r="E2" s="497"/>
      <c r="F2" s="497"/>
      <c r="G2" s="497"/>
      <c r="H2" s="497"/>
    </row>
    <row r="3" spans="1:8" s="569" customFormat="1" ht="24" customHeight="1">
      <c r="A3" s="1185" t="str">
        <f>'基礎'!C21</f>
        <v>地価公示</v>
      </c>
      <c r="B3" s="1185"/>
      <c r="C3" s="567" t="str">
        <f>'基礎'!A23</f>
        <v>岐阜ー１０</v>
      </c>
      <c r="D3" s="497"/>
      <c r="E3" s="497"/>
      <c r="F3" s="568"/>
      <c r="G3" s="568"/>
      <c r="H3" s="568"/>
    </row>
    <row r="4" spans="1:8" s="569" customFormat="1" ht="24" customHeight="1">
      <c r="A4" s="1185" t="s">
        <v>219</v>
      </c>
      <c r="B4" s="1185"/>
      <c r="C4" s="570" t="str">
        <f>'基礎'!B23</f>
        <v>岐阜市柳ヶ瀬３丁目５番</v>
      </c>
      <c r="D4" s="497"/>
      <c r="E4" s="497"/>
      <c r="F4" s="568"/>
      <c r="G4" s="568"/>
      <c r="H4" s="568"/>
    </row>
    <row r="5" spans="1:8" s="569" customFormat="1" ht="24" customHeight="1">
      <c r="A5" s="1185" t="s">
        <v>320</v>
      </c>
      <c r="B5" s="1185"/>
      <c r="C5" s="1187">
        <f>'基礎'!E23</f>
        <v>250000</v>
      </c>
      <c r="D5" s="1187"/>
      <c r="E5" s="497"/>
      <c r="F5" s="568"/>
      <c r="G5" s="568"/>
      <c r="H5" s="568"/>
    </row>
    <row r="6" spans="1:8" s="569" customFormat="1" ht="24" customHeight="1">
      <c r="A6" s="1185" t="s">
        <v>419</v>
      </c>
      <c r="B6" s="1185"/>
      <c r="C6" s="570" t="str">
        <f>'基礎'!H25</f>
        <v>JR東海道本線「岐阜駅」の北方道路距離約３kmに位置する</v>
      </c>
      <c r="D6" s="497"/>
      <c r="E6" s="497"/>
      <c r="F6" s="568"/>
      <c r="G6" s="568"/>
      <c r="H6" s="568"/>
    </row>
    <row r="7" spans="1:8" s="569" customFormat="1" ht="24" customHeight="1">
      <c r="A7" s="1185" t="s">
        <v>315</v>
      </c>
      <c r="B7" s="1185"/>
      <c r="C7" s="1186">
        <f>'基礎'!H23</f>
        <v>37256</v>
      </c>
      <c r="D7" s="1186"/>
      <c r="E7" s="497"/>
      <c r="F7" s="568"/>
      <c r="G7" s="568"/>
      <c r="H7" s="568"/>
    </row>
    <row r="8" spans="1:8" s="569" customFormat="1" ht="24" customHeight="1">
      <c r="A8" s="1185" t="s">
        <v>420</v>
      </c>
      <c r="B8" s="1185"/>
      <c r="C8" s="571">
        <f>'基礎'!F23</f>
        <v>160</v>
      </c>
      <c r="D8" s="497" t="s">
        <v>121</v>
      </c>
      <c r="E8" s="497"/>
      <c r="F8" s="568"/>
      <c r="G8" s="568"/>
      <c r="H8" s="568"/>
    </row>
    <row r="9" spans="1:8" s="569" customFormat="1" ht="24" customHeight="1">
      <c r="A9" s="1185" t="s">
        <v>316</v>
      </c>
      <c r="B9" s="1185"/>
      <c r="C9" s="570" t="str">
        <f>'基礎'!G25</f>
        <v>水道・ガス・下水</v>
      </c>
      <c r="D9" s="497"/>
      <c r="E9" s="497"/>
      <c r="F9" s="568"/>
      <c r="G9" s="568"/>
      <c r="H9" s="568"/>
    </row>
    <row r="10" spans="1:8" s="569" customFormat="1" ht="24" customHeight="1">
      <c r="A10" s="1185" t="s">
        <v>317</v>
      </c>
      <c r="B10" s="1185"/>
      <c r="C10" s="570" t="str">
        <f>'基礎'!B24</f>
        <v>西、６ｍ市道</v>
      </c>
      <c r="D10" s="497"/>
      <c r="E10" s="497"/>
      <c r="F10" s="568"/>
      <c r="G10" s="568"/>
      <c r="H10" s="568"/>
    </row>
    <row r="11" spans="1:8" s="569" customFormat="1" ht="24" customHeight="1">
      <c r="A11" s="1185" t="s">
        <v>318</v>
      </c>
      <c r="B11" s="1185"/>
      <c r="C11" s="570" t="str">
        <f>'基礎'!B26</f>
        <v>第二種中高層住居専用地域</v>
      </c>
      <c r="D11" s="497"/>
      <c r="E11" s="497"/>
      <c r="F11" s="568"/>
      <c r="G11" s="568"/>
      <c r="H11" s="568"/>
    </row>
    <row r="12" spans="1:8" s="569" customFormat="1" ht="24" customHeight="1">
      <c r="A12" s="1185" t="s">
        <v>319</v>
      </c>
      <c r="B12" s="1185"/>
      <c r="C12" s="570" t="str">
        <f>'基礎'!B25</f>
        <v>中規模一般住宅、マンションが混在する地域</v>
      </c>
      <c r="D12" s="497"/>
      <c r="E12" s="497"/>
      <c r="F12" s="568"/>
      <c r="G12" s="568"/>
      <c r="H12" s="568"/>
    </row>
    <row r="13" spans="1:8" s="569" customFormat="1" ht="24" customHeight="1">
      <c r="A13" s="572"/>
      <c r="B13" s="568"/>
      <c r="C13" s="497"/>
      <c r="D13" s="497"/>
      <c r="E13" s="497"/>
      <c r="F13" s="568"/>
      <c r="G13" s="568"/>
      <c r="H13" s="568"/>
    </row>
    <row r="14" spans="1:8" s="569" customFormat="1" ht="24" customHeight="1">
      <c r="A14" s="572"/>
      <c r="B14" s="568"/>
      <c r="C14" s="497"/>
      <c r="D14" s="497"/>
      <c r="E14" s="497"/>
      <c r="F14" s="568"/>
      <c r="G14" s="568"/>
      <c r="H14" s="568"/>
    </row>
    <row r="15" spans="1:8" s="569" customFormat="1" ht="24" customHeight="1">
      <c r="A15" s="572"/>
      <c r="B15" s="568"/>
      <c r="C15" s="568"/>
      <c r="D15" s="568"/>
      <c r="E15" s="568"/>
      <c r="F15" s="568"/>
      <c r="G15" s="568"/>
      <c r="H15" s="568"/>
    </row>
    <row r="16" spans="1:8" s="569" customFormat="1" ht="24" customHeight="1">
      <c r="A16" s="572"/>
      <c r="B16" s="568"/>
      <c r="C16" s="568"/>
      <c r="D16" s="568"/>
      <c r="E16" s="568"/>
      <c r="F16" s="568"/>
      <c r="G16" s="568"/>
      <c r="H16" s="568"/>
    </row>
    <row r="17" spans="1:8" s="569" customFormat="1" ht="24" customHeight="1">
      <c r="A17" s="486" t="s">
        <v>637</v>
      </c>
      <c r="B17" s="497"/>
      <c r="C17" s="497"/>
      <c r="D17" s="568"/>
      <c r="E17" s="568"/>
      <c r="F17" s="568"/>
      <c r="G17" s="568"/>
      <c r="H17" s="568"/>
    </row>
    <row r="18" spans="1:8" s="569" customFormat="1" ht="24" customHeight="1">
      <c r="A18" s="486"/>
      <c r="B18" s="497"/>
      <c r="C18" s="497"/>
      <c r="D18" s="568"/>
      <c r="E18" s="568"/>
      <c r="F18" s="568"/>
      <c r="G18" s="568"/>
      <c r="H18" s="568"/>
    </row>
    <row r="19" spans="1:8" s="569" customFormat="1" ht="24" customHeight="1">
      <c r="A19" s="490" t="s">
        <v>421</v>
      </c>
      <c r="B19" s="497"/>
      <c r="C19" s="497"/>
      <c r="D19" s="568"/>
      <c r="E19" s="568"/>
      <c r="F19" s="568">
        <f>IF('基礎'!A108&gt;1,'基礎'!G107,"")</f>
      </c>
      <c r="G19" s="568"/>
      <c r="H19" s="568"/>
    </row>
    <row r="20" spans="1:8" s="569" customFormat="1" ht="24" customHeight="1">
      <c r="A20" s="490" t="s">
        <v>638</v>
      </c>
      <c r="B20" s="497"/>
      <c r="C20" s="497"/>
      <c r="D20" s="568"/>
      <c r="E20" s="568"/>
      <c r="F20" s="568">
        <f>IF('基礎'!A108&gt;1,'基礎'!G108,"")</f>
      </c>
      <c r="G20" s="568"/>
      <c r="H20" s="568"/>
    </row>
    <row r="21" spans="1:8" s="569" customFormat="1" ht="24" customHeight="1">
      <c r="A21" s="490" t="s">
        <v>174</v>
      </c>
      <c r="B21" s="497"/>
      <c r="C21" s="497"/>
      <c r="D21" s="568"/>
      <c r="E21" s="568"/>
      <c r="F21" s="568">
        <f>IF('基礎'!A108&gt;1,'基礎'!G109,"")</f>
      </c>
      <c r="G21" s="568"/>
      <c r="H21" s="568"/>
    </row>
    <row r="22" spans="1:8" s="569" customFormat="1" ht="24" customHeight="1">
      <c r="A22" s="490" t="s">
        <v>516</v>
      </c>
      <c r="B22" s="497"/>
      <c r="C22" s="497"/>
      <c r="D22" s="568"/>
      <c r="E22" s="568"/>
      <c r="F22" s="568">
        <f>IF('基礎'!A108&gt;1,'基礎'!G110,"")</f>
      </c>
      <c r="G22" s="568"/>
      <c r="H22" s="568"/>
    </row>
    <row r="23" spans="1:8" s="569" customFormat="1" ht="24" customHeight="1">
      <c r="A23" s="490" t="s">
        <v>517</v>
      </c>
      <c r="B23" s="497"/>
      <c r="C23" s="497"/>
      <c r="D23" s="568"/>
      <c r="E23" s="568"/>
      <c r="F23" s="568">
        <f>IF('基礎'!A108&gt;1,'基礎'!G111,"")</f>
      </c>
      <c r="G23" s="568"/>
      <c r="H23" s="568"/>
    </row>
    <row r="24" spans="1:8" s="569" customFormat="1" ht="24" customHeight="1">
      <c r="A24" s="572"/>
      <c r="B24" s="568"/>
      <c r="C24" s="568"/>
      <c r="D24" s="568"/>
      <c r="E24" s="568" t="s">
        <v>32</v>
      </c>
      <c r="F24" s="573" t="s">
        <v>175</v>
      </c>
      <c r="G24" s="568"/>
      <c r="H24" s="568"/>
    </row>
    <row r="25" spans="1:8" s="498" customFormat="1" ht="19.5" customHeight="1">
      <c r="A25" s="486" t="s">
        <v>33</v>
      </c>
      <c r="B25" s="497"/>
      <c r="C25" s="497"/>
      <c r="D25" s="497"/>
      <c r="E25" s="497"/>
      <c r="F25" s="497"/>
      <c r="G25" s="497"/>
      <c r="H25" s="497"/>
    </row>
  </sheetData>
  <mergeCells count="12">
    <mergeCell ref="C7:D7"/>
    <mergeCell ref="A3:B3"/>
    <mergeCell ref="A4:B4"/>
    <mergeCell ref="A5:B5"/>
    <mergeCell ref="A6:B6"/>
    <mergeCell ref="A7:B7"/>
    <mergeCell ref="C5:D5"/>
    <mergeCell ref="A12:B12"/>
    <mergeCell ref="A8:B8"/>
    <mergeCell ref="A9:B9"/>
    <mergeCell ref="A10:B10"/>
    <mergeCell ref="A11:B11"/>
  </mergeCells>
  <printOptions/>
  <pageMargins left="1.1811023622047245" right="0.31496062992125984" top="0.7874015748031497" bottom="0.8267716535433072" header="0.4330708661417323" footer="0.5511811023622047"/>
  <pageSetup orientation="portrait" paperSize="9" scale="90" r:id="rId1"/>
  <headerFooter alignWithMargins="0">
    <oddFooter>&amp;L&amp;C&amp;R&amp;"Osaka,斜体"&amp;P</oddFooter>
  </headerFooter>
</worksheet>
</file>

<file path=xl/worksheets/sheet13.xml><?xml version="1.0" encoding="utf-8"?>
<worksheet xmlns="http://schemas.openxmlformats.org/spreadsheetml/2006/main" xmlns:r="http://schemas.openxmlformats.org/officeDocument/2006/relationships">
  <dimension ref="A1:V43"/>
  <sheetViews>
    <sheetView showZeros="0" zoomScale="75" zoomScaleNormal="75" workbookViewId="0" topLeftCell="A1">
      <selection activeCell="F3" sqref="F3"/>
    </sheetView>
  </sheetViews>
  <sheetFormatPr defaultColWidth="8.796875" defaultRowHeight="15"/>
  <cols>
    <col min="1" max="1" width="12.69921875" style="508" customWidth="1"/>
    <col min="2" max="9" width="10.69921875" style="508" customWidth="1"/>
    <col min="10" max="10" width="11" style="508" customWidth="1"/>
    <col min="11" max="22" width="10.59765625" style="508" customWidth="1"/>
    <col min="23" max="16384" width="11" style="508" customWidth="1"/>
  </cols>
  <sheetData>
    <row r="1" spans="1:9" ht="12" customHeight="1">
      <c r="A1" s="503"/>
      <c r="B1" s="504"/>
      <c r="C1" s="504"/>
      <c r="D1" s="505"/>
      <c r="E1" s="505"/>
      <c r="F1" s="506"/>
      <c r="G1" s="506"/>
      <c r="H1" s="506"/>
      <c r="I1" s="507"/>
    </row>
    <row r="2" spans="1:9" ht="24" customHeight="1">
      <c r="A2" s="1200" t="str">
        <f>'基礎'!E13</f>
        <v>◎◎地方裁判所</v>
      </c>
      <c r="B2" s="1201"/>
      <c r="C2" s="1202"/>
      <c r="E2" s="1217" t="s">
        <v>36</v>
      </c>
      <c r="F2" s="1218"/>
      <c r="G2" s="1219"/>
      <c r="H2" s="1192" t="s">
        <v>1010</v>
      </c>
      <c r="I2" s="1193"/>
    </row>
    <row r="3" spans="1:9" ht="24" customHeight="1">
      <c r="A3" s="1203" t="str">
        <f>'基礎'!E14</f>
        <v>◇□支部</v>
      </c>
      <c r="B3" s="1204"/>
      <c r="C3" s="1205"/>
      <c r="E3" s="509" t="s">
        <v>762</v>
      </c>
      <c r="F3" s="510" t="s">
        <v>763</v>
      </c>
      <c r="G3" s="511" t="s">
        <v>1011</v>
      </c>
      <c r="H3" s="1194" t="s">
        <v>906</v>
      </c>
      <c r="I3" s="1195"/>
    </row>
    <row r="4" spans="1:9" ht="24" customHeight="1">
      <c r="A4" s="1207" t="s">
        <v>214</v>
      </c>
      <c r="B4" s="1207"/>
      <c r="C4" s="1207"/>
      <c r="D4" s="1207"/>
      <c r="E4" s="512" t="str">
        <f>IF('基礎'!A103=0,"　　枚",'基礎'!A103)</f>
        <v> </v>
      </c>
      <c r="F4" s="513" t="str">
        <f>IF('基礎'!B103=0,"　　枚",'基礎'!B103)</f>
        <v>　　枚</v>
      </c>
      <c r="G4" s="514" t="str">
        <f>IF('基礎'!C103=0,"　　枚",'基礎'!C103)</f>
        <v>　　枚</v>
      </c>
      <c r="H4" s="1215"/>
      <c r="I4" s="1216"/>
    </row>
    <row r="5" spans="1:12" ht="12" customHeight="1">
      <c r="A5" s="1208"/>
      <c r="B5" s="1208"/>
      <c r="C5" s="1208"/>
      <c r="D5" s="1208"/>
      <c r="E5" s="516"/>
      <c r="F5" s="516"/>
      <c r="G5" s="516"/>
      <c r="H5" s="516"/>
      <c r="I5" s="516"/>
      <c r="J5" s="517"/>
      <c r="K5" s="517"/>
      <c r="L5" s="517"/>
    </row>
    <row r="6" spans="1:12" ht="25.5" customHeight="1">
      <c r="A6" s="518" t="s">
        <v>545</v>
      </c>
      <c r="B6" s="1206" t="str">
        <f>IF('基礎'!E3=1,'基礎'!J2,'基礎'!I2)</f>
        <v>□　土地</v>
      </c>
      <c r="C6" s="1191"/>
      <c r="D6" s="1191" t="str">
        <f>IF('基礎'!E3=2,'基礎'!J3,'基礎'!I3)</f>
        <v>■　戸建</v>
      </c>
      <c r="E6" s="1191"/>
      <c r="F6" s="1191" t="str">
        <f>IF('基礎'!E3=3,'基礎'!J4,'基礎'!I4)</f>
        <v>□　マンション</v>
      </c>
      <c r="G6" s="1191"/>
      <c r="H6" s="1191" t="str">
        <f>IF('基礎'!E3=4,'基礎'!J5,'基礎'!I5)</f>
        <v>□　その他</v>
      </c>
      <c r="I6" s="1196"/>
      <c r="J6" s="519"/>
      <c r="K6" s="519"/>
      <c r="L6" s="517"/>
    </row>
    <row r="7" spans="1:10" ht="12" customHeight="1">
      <c r="A7" s="520"/>
      <c r="B7" s="521"/>
      <c r="C7" s="521"/>
      <c r="D7" s="521"/>
      <c r="E7" s="521"/>
      <c r="F7" s="521"/>
      <c r="G7" s="521"/>
      <c r="H7" s="521"/>
      <c r="I7" s="522"/>
      <c r="J7" s="517"/>
    </row>
    <row r="8" spans="1:22" ht="30" customHeight="1">
      <c r="A8" s="1209" t="s">
        <v>907</v>
      </c>
      <c r="B8" s="1211" t="s">
        <v>1012</v>
      </c>
      <c r="C8" s="1212"/>
      <c r="D8" s="1188" t="str">
        <f>市町村名等&amp;'基礎'!B32</f>
        <v> 柳ヶ瀬１丁目</v>
      </c>
      <c r="E8" s="1189"/>
      <c r="F8" s="1189"/>
      <c r="G8" s="1190"/>
      <c r="H8" s="1188" t="str">
        <f>IF('基礎'!C35&gt;0,'基礎'!B33&amp;" 他",'基礎'!B33)</f>
        <v>101番</v>
      </c>
      <c r="I8" s="1197"/>
      <c r="K8" s="523"/>
      <c r="L8" s="523"/>
      <c r="M8" s="523"/>
      <c r="N8" s="523"/>
      <c r="O8" s="523" t="s">
        <v>55</v>
      </c>
      <c r="P8" s="523"/>
      <c r="Q8" s="523"/>
      <c r="R8" s="523"/>
      <c r="S8" s="523"/>
      <c r="T8" s="523" t="s">
        <v>55</v>
      </c>
      <c r="U8" s="523"/>
      <c r="V8" s="523" t="s">
        <v>55</v>
      </c>
    </row>
    <row r="9" spans="1:9" ht="30" customHeight="1">
      <c r="A9" s="1210"/>
      <c r="B9" s="1213" t="s">
        <v>1013</v>
      </c>
      <c r="C9" s="1214"/>
      <c r="D9" s="1198"/>
      <c r="E9" s="1198"/>
      <c r="F9" s="1198"/>
      <c r="G9" s="1198"/>
      <c r="H9" s="1198"/>
      <c r="I9" s="1199"/>
    </row>
    <row r="10" spans="1:9" ht="30" customHeight="1">
      <c r="A10" s="1209" t="s">
        <v>1014</v>
      </c>
      <c r="B10" s="1270" t="s">
        <v>210</v>
      </c>
      <c r="C10" s="1271"/>
      <c r="D10" s="524" t="s">
        <v>211</v>
      </c>
      <c r="E10" s="1271" t="s">
        <v>169</v>
      </c>
      <c r="F10" s="1271"/>
      <c r="G10" s="524" t="s">
        <v>170</v>
      </c>
      <c r="H10" s="524" t="s">
        <v>171</v>
      </c>
      <c r="I10" s="525" t="s">
        <v>1015</v>
      </c>
    </row>
    <row r="11" spans="1:9" ht="30" customHeight="1">
      <c r="A11" s="1267"/>
      <c r="B11" s="1272" t="str">
        <f>'要因'!B6</f>
        <v>ＪＲ</v>
      </c>
      <c r="C11" s="1268"/>
      <c r="D11" s="526" t="str">
        <f>'要因'!C6</f>
        <v>東海道本線</v>
      </c>
      <c r="E11" s="1268" t="str">
        <f>'要因'!D6</f>
        <v>岐阜駅</v>
      </c>
      <c r="F11" s="1268"/>
      <c r="G11" s="526" t="str">
        <f>'要因'!E6</f>
        <v>南東</v>
      </c>
      <c r="H11" s="527">
        <f>'要因'!F6</f>
        <v>1600</v>
      </c>
      <c r="I11" s="528" t="str">
        <f>IF('要因'!F6&gt;=1600,"── ",'要因'!H6)</f>
        <v>── </v>
      </c>
    </row>
    <row r="12" spans="1:9" ht="30" customHeight="1">
      <c r="A12" s="1267"/>
      <c r="B12" s="1273" t="str">
        <f>'要因'!B7</f>
        <v>市バス</v>
      </c>
      <c r="C12" s="1269"/>
      <c r="D12" s="529" t="s">
        <v>115</v>
      </c>
      <c r="E12" s="1269" t="str">
        <f>'要因'!D7</f>
        <v>地裁前停</v>
      </c>
      <c r="F12" s="1269"/>
      <c r="G12" s="529" t="str">
        <f>'要因'!E7</f>
        <v>北東</v>
      </c>
      <c r="H12" s="530">
        <f>'要因'!F7</f>
        <v>200</v>
      </c>
      <c r="I12" s="531">
        <f>IF('要因'!F7&gt;=1600,"── ",'要因'!H7)</f>
        <v>4</v>
      </c>
    </row>
    <row r="13" spans="1:9" ht="49.5" customHeight="1">
      <c r="A13" s="532" t="s">
        <v>53</v>
      </c>
      <c r="B13" s="1264" t="s">
        <v>116</v>
      </c>
      <c r="C13" s="1265"/>
      <c r="D13" s="1265"/>
      <c r="E13" s="1265"/>
      <c r="F13" s="1265"/>
      <c r="G13" s="1265"/>
      <c r="H13" s="1265"/>
      <c r="I13" s="1266"/>
    </row>
    <row r="14" spans="1:9" ht="21.75" customHeight="1">
      <c r="A14" s="533" t="s">
        <v>40</v>
      </c>
      <c r="B14" s="1255">
        <f>'試算'!B32</f>
        <v>100</v>
      </c>
      <c r="C14" s="1256"/>
      <c r="D14" s="1256"/>
      <c r="E14" s="1256"/>
      <c r="F14" s="1259" t="s">
        <v>807</v>
      </c>
      <c r="G14" s="1260"/>
      <c r="H14" s="1220"/>
      <c r="I14" s="1221"/>
    </row>
    <row r="15" spans="1:9" ht="21.75" customHeight="1">
      <c r="A15" s="515" t="s">
        <v>41</v>
      </c>
      <c r="B15" s="1257" t="str">
        <f>'基礎'!B34</f>
        <v>宅　地</v>
      </c>
      <c r="C15" s="1258"/>
      <c r="D15" s="1258"/>
      <c r="E15" s="1258"/>
      <c r="F15" s="1262" t="s">
        <v>42</v>
      </c>
      <c r="G15" s="1263"/>
      <c r="H15" s="1222" t="str">
        <f>'要因'!B25</f>
        <v>宅　地</v>
      </c>
      <c r="I15" s="1223"/>
    </row>
    <row r="16" spans="1:9" ht="21.75" customHeight="1">
      <c r="A16" s="534" t="s">
        <v>1017</v>
      </c>
      <c r="B16" s="1261" t="s">
        <v>911</v>
      </c>
      <c r="C16" s="1224"/>
      <c r="D16" s="535" t="s">
        <v>912</v>
      </c>
      <c r="E16" s="535" t="s">
        <v>913</v>
      </c>
      <c r="F16" s="1224" t="s">
        <v>914</v>
      </c>
      <c r="G16" s="1224"/>
      <c r="H16" s="1224" t="s">
        <v>915</v>
      </c>
      <c r="I16" s="1225"/>
    </row>
    <row r="17" spans="1:9" ht="21.75" customHeight="1">
      <c r="A17" s="536" t="s">
        <v>916</v>
      </c>
      <c r="B17" s="1232" t="str">
        <f>IF('基礎'!B88=0,0,VLOOKUP('基礎'!B88,選択建物一覧,4))</f>
        <v>木造</v>
      </c>
      <c r="C17" s="1236"/>
      <c r="D17" s="537" t="str">
        <f>IF('基礎'!B88=0,0,VLOOKUP('基礎'!B88,選択建物一覧,5))</f>
        <v>２階建</v>
      </c>
      <c r="E17" s="538">
        <f>IF('基礎'!B88=0,0,VLOOKUP('基礎'!B88,選択建物一覧,7))</f>
        <v>100</v>
      </c>
      <c r="F17" s="1234">
        <f>IF('基礎'!B88=0,0,VLOOKUP('基礎'!B88,選択建物一覧,8))</f>
        <v>31047</v>
      </c>
      <c r="G17" s="1234"/>
      <c r="H17" s="1226" t="str">
        <f>IF('基礎'!B88=0,0,VLOOKUP('基礎'!B88,選択建物一覧,9))</f>
        <v>添付間取り図のとおり</v>
      </c>
      <c r="I17" s="1227"/>
    </row>
    <row r="18" spans="1:9" ht="21.75" customHeight="1">
      <c r="A18" s="536" t="s">
        <v>917</v>
      </c>
      <c r="B18" s="1232">
        <f>IF('基礎'!C88=0,0,VLOOKUP('基礎'!C88,選択建物一覧,4))</f>
        <v>0</v>
      </c>
      <c r="C18" s="1236"/>
      <c r="D18" s="537">
        <f>IF('基礎'!C88=0,0,VLOOKUP('基礎'!C88,選択建物一覧,5))</f>
        <v>0</v>
      </c>
      <c r="E18" s="538">
        <f>IF('基礎'!C88=0,0,VLOOKUP('基礎'!C88,選択建物一覧,7))</f>
        <v>0</v>
      </c>
      <c r="F18" s="1234">
        <f>IF('基礎'!C88=0,0,VLOOKUP('基礎'!C88,選択建物一覧,8))</f>
        <v>0</v>
      </c>
      <c r="G18" s="1234"/>
      <c r="H18" s="1228">
        <f>IF('基礎'!C88=0,0,VLOOKUP('基礎'!C88,選択建物一覧,9))</f>
        <v>0</v>
      </c>
      <c r="I18" s="1229"/>
    </row>
    <row r="19" spans="1:9" ht="21.75" customHeight="1">
      <c r="A19" s="536" t="s">
        <v>38</v>
      </c>
      <c r="B19" s="1232" t="s">
        <v>6</v>
      </c>
      <c r="C19" s="1233"/>
      <c r="D19" s="537" t="s">
        <v>6</v>
      </c>
      <c r="E19" s="539" t="s">
        <v>6</v>
      </c>
      <c r="F19" s="1234" t="s">
        <v>6</v>
      </c>
      <c r="G19" s="1234"/>
      <c r="H19" s="1228" t="s">
        <v>6</v>
      </c>
      <c r="I19" s="1229"/>
    </row>
    <row r="20" spans="1:9" ht="21.75" customHeight="1">
      <c r="A20" s="515" t="s">
        <v>39</v>
      </c>
      <c r="B20" s="1250" t="s">
        <v>6</v>
      </c>
      <c r="C20" s="1251"/>
      <c r="D20" s="540" t="s">
        <v>109</v>
      </c>
      <c r="E20" s="541" t="s">
        <v>109</v>
      </c>
      <c r="F20" s="1235" t="s">
        <v>109</v>
      </c>
      <c r="G20" s="1235"/>
      <c r="H20" s="1230" t="s">
        <v>109</v>
      </c>
      <c r="I20" s="1231"/>
    </row>
    <row r="21" spans="1:9" ht="19.5" customHeight="1">
      <c r="A21" s="1209" t="s">
        <v>944</v>
      </c>
      <c r="B21" s="1246" t="str">
        <f>IF('基礎'!A66=0,'基礎'!B66,'基礎'!D66)</f>
        <v>□ 民事執行法63条2項1号により入札が(　　　　　　　　　　　)万円以上でないと</v>
      </c>
      <c r="C21" s="1247"/>
      <c r="D21" s="1247"/>
      <c r="E21" s="1247"/>
      <c r="F21" s="1247"/>
      <c r="G21" s="1247"/>
      <c r="H21" s="1247"/>
      <c r="I21" s="1248"/>
    </row>
    <row r="22" spans="1:15" ht="19.5" customHeight="1">
      <c r="A22" s="1267"/>
      <c r="B22" s="542" t="s">
        <v>68</v>
      </c>
      <c r="C22" s="543"/>
      <c r="D22" s="543"/>
      <c r="E22" s="543"/>
      <c r="F22" s="543"/>
      <c r="G22" s="543"/>
      <c r="H22" s="543"/>
      <c r="I22" s="544"/>
      <c r="M22" s="517"/>
      <c r="N22" s="517"/>
      <c r="O22" s="517"/>
    </row>
    <row r="23" spans="1:15" ht="19.5" customHeight="1">
      <c r="A23" s="1267"/>
      <c r="B23" s="545" t="str">
        <f>IF('基礎'!A67=0,'基礎'!B67,'基礎'!D67)</f>
        <v>□ 買受適格証明を要す</v>
      </c>
      <c r="C23" s="546"/>
      <c r="D23" s="546"/>
      <c r="E23" s="546"/>
      <c r="F23" s="546"/>
      <c r="G23" s="546"/>
      <c r="H23" s="546"/>
      <c r="I23" s="547"/>
      <c r="M23" s="517"/>
      <c r="N23" s="517"/>
      <c r="O23" s="517"/>
    </row>
    <row r="24" spans="1:15" ht="19.5" customHeight="1">
      <c r="A24" s="1267"/>
      <c r="B24" s="548" t="str">
        <f>IF('基礎'!A68=0,'基礎'!B68,'基礎'!D68)</f>
        <v>□ 借地権付建物</v>
      </c>
      <c r="C24" s="546"/>
      <c r="D24" s="546"/>
      <c r="E24" s="546"/>
      <c r="F24" s="546" t="str">
        <f>IF('基礎'!A69=0,'基礎'!B69,'基礎'!D69)</f>
        <v>□ 法定地上権付建物</v>
      </c>
      <c r="G24" s="546"/>
      <c r="H24" s="546"/>
      <c r="I24" s="547"/>
      <c r="L24" s="549"/>
      <c r="M24" s="549"/>
      <c r="N24" s="549"/>
      <c r="O24" s="517"/>
    </row>
    <row r="25" spans="1:15" ht="19.5" customHeight="1">
      <c r="A25" s="1267"/>
      <c r="B25" s="548" t="str">
        <f>IF('基礎'!A70=0,'基礎'!B70,'基礎'!D70)</f>
        <v>□ 敷地利用権のない建物</v>
      </c>
      <c r="C25" s="546"/>
      <c r="D25" s="546"/>
      <c r="E25" s="546"/>
      <c r="F25" s="546" t="str">
        <f>IF('基礎'!A71=0,'基礎'!B71,'基礎'!D71)</f>
        <v>□ 持分のみの売却</v>
      </c>
      <c r="G25" s="546"/>
      <c r="H25" s="546"/>
      <c r="I25" s="547"/>
      <c r="L25" s="549"/>
      <c r="M25" s="549"/>
      <c r="N25" s="549"/>
      <c r="O25" s="517"/>
    </row>
    <row r="26" spans="1:15" ht="19.5" customHeight="1">
      <c r="A26" s="1267"/>
      <c r="B26" s="548" t="str">
        <f>IF('基礎'!A72=0,'基礎'!B72,'基礎'!D72)</f>
        <v>□ その他売却物件あり</v>
      </c>
      <c r="C26" s="546"/>
      <c r="D26" s="546"/>
      <c r="E26" s="546"/>
      <c r="F26" s="546" t="str">
        <f>IF('基礎'!A73=0,'基礎'!B73,'基礎'!D73)</f>
        <v>□ 目的外建物(敷地利用権有)あり</v>
      </c>
      <c r="G26" s="546"/>
      <c r="H26" s="546"/>
      <c r="I26" s="547"/>
      <c r="L26" s="549"/>
      <c r="M26" s="549"/>
      <c r="N26" s="549"/>
      <c r="O26" s="517"/>
    </row>
    <row r="27" spans="1:15" ht="19.5" customHeight="1">
      <c r="A27" s="1267"/>
      <c r="B27" s="546" t="str">
        <f>IF('基礎'!A74=0,'基礎'!B74,'基礎'!D74)</f>
        <v>□ その他（                　　　　　　　　　　　 　　　　　　　）</v>
      </c>
      <c r="C27" s="546"/>
      <c r="D27" s="546"/>
      <c r="E27" s="546"/>
      <c r="F27" s="546"/>
      <c r="G27" s="550"/>
      <c r="H27" s="551"/>
      <c r="I27" s="552" t="s">
        <v>883</v>
      </c>
      <c r="M27" s="517"/>
      <c r="N27" s="517"/>
      <c r="O27" s="517"/>
    </row>
    <row r="28" spans="1:15" ht="19.5" customHeight="1">
      <c r="A28" s="1267"/>
      <c r="B28" s="548" t="str">
        <f>IF('基礎'!A75=0,'基礎'!B75,'基礎'!D75)</f>
        <v>□ その他（                　　　　　　　　　 　　　　　　　　　）</v>
      </c>
      <c r="C28" s="546"/>
      <c r="D28" s="546"/>
      <c r="E28" s="546"/>
      <c r="F28" s="553"/>
      <c r="G28" s="546"/>
      <c r="H28" s="546"/>
      <c r="I28" s="547"/>
      <c r="M28" s="517"/>
      <c r="N28" s="517"/>
      <c r="O28" s="517"/>
    </row>
    <row r="29" spans="1:15" ht="19.5" customHeight="1">
      <c r="A29" s="1267"/>
      <c r="B29" s="548" t="str">
        <f>'基礎'!A84</f>
        <v>□市街化調整区域</v>
      </c>
      <c r="C29" s="546"/>
      <c r="D29" s="546"/>
      <c r="E29" s="546"/>
      <c r="F29" s="553"/>
      <c r="G29" s="546"/>
      <c r="H29" s="546"/>
      <c r="I29" s="547"/>
      <c r="M29" s="517"/>
      <c r="N29" s="517"/>
      <c r="O29" s="517"/>
    </row>
    <row r="30" spans="1:15" ht="19.5" customHeight="1">
      <c r="A30" s="1267"/>
      <c r="B30" s="548" t="str">
        <f>IF('基礎'!A76=0,'基礎'!B76,'基礎'!D76)</f>
        <v>□ 第三者占有あり</v>
      </c>
      <c r="C30" s="546"/>
      <c r="D30" s="546"/>
      <c r="E30" s="546"/>
      <c r="F30" s="546" t="str">
        <f>IF('基礎'!A77=0,'基礎'!B77,'基礎'!D77)</f>
        <v>□ 賃借権あり</v>
      </c>
      <c r="G30" s="546"/>
      <c r="H30" s="546"/>
      <c r="I30" s="547"/>
      <c r="M30" s="517"/>
      <c r="N30" s="517"/>
      <c r="O30" s="517"/>
    </row>
    <row r="31" spans="1:15" ht="19.5" customHeight="1">
      <c r="A31" s="1267"/>
      <c r="B31" s="548" t="str">
        <f>IF('基礎'!A78=0,'基礎'!B78,'基礎'!D78)</f>
        <v>□ 短期賃借権あり</v>
      </c>
      <c r="C31" s="546"/>
      <c r="D31" s="546"/>
      <c r="E31" s="546"/>
      <c r="F31" s="546" t="s">
        <v>883</v>
      </c>
      <c r="G31" s="546"/>
      <c r="H31" s="546"/>
      <c r="I31" s="547"/>
      <c r="M31" s="517"/>
      <c r="N31" s="517"/>
      <c r="O31" s="517"/>
    </row>
    <row r="32" spans="1:9" ht="19.5" customHeight="1">
      <c r="A32" s="1267"/>
      <c r="B32" s="548" t="str">
        <f>IF('基礎'!A81=0,'基礎'!B81,'基礎'!D81)</f>
        <v>□ 附属建物あり</v>
      </c>
      <c r="C32" s="546"/>
      <c r="D32" s="546"/>
      <c r="E32" s="546"/>
      <c r="F32" s="546" t="str">
        <f>IF('基礎'!A82=0,'基礎'!B82,'基礎'!D82)</f>
        <v>□ 未登記増築部分あり</v>
      </c>
      <c r="G32" s="546"/>
      <c r="H32" s="553"/>
      <c r="I32" s="547"/>
    </row>
    <row r="33" spans="1:15" ht="19.5" customHeight="1">
      <c r="A33" s="1267"/>
      <c r="B33" s="546" t="str">
        <f>IF('基礎'!A79=0,'基礎'!B79,'基礎'!D79)</f>
        <v>□ 現況（□土地 □建物），概測 （約</v>
      </c>
      <c r="C33" s="546"/>
      <c r="D33" s="546"/>
      <c r="E33" s="546"/>
      <c r="F33" s="1254">
        <f>'基礎'!G79</f>
        <v>0</v>
      </c>
      <c r="G33" s="1254"/>
      <c r="H33" s="554" t="s">
        <v>69</v>
      </c>
      <c r="I33" s="547"/>
      <c r="M33" s="517"/>
      <c r="N33" s="517"/>
      <c r="O33" s="517"/>
    </row>
    <row r="34" spans="1:15" ht="19.5" customHeight="1">
      <c r="A34" s="1267"/>
      <c r="B34" s="546" t="str">
        <f>IF('基礎'!A80=0,'基礎'!B80,'基礎'!D80)</f>
        <v>□ 現況（□土地 □建物），概測 （約</v>
      </c>
      <c r="C34" s="546"/>
      <c r="D34" s="546"/>
      <c r="E34" s="546"/>
      <c r="F34" s="1254">
        <f>'基礎'!G80</f>
        <v>0</v>
      </c>
      <c r="G34" s="1254"/>
      <c r="H34" s="554" t="s">
        <v>69</v>
      </c>
      <c r="I34" s="547"/>
      <c r="M34" s="517"/>
      <c r="N34" s="517"/>
      <c r="O34" s="517"/>
    </row>
    <row r="35" spans="1:9" ht="19.5" customHeight="1">
      <c r="A35" s="1210"/>
      <c r="B35" s="548" t="str">
        <f>IF('基礎'!A83=0,'基礎'!B83,'基礎'!D83)</f>
        <v>□ 管理費等の滞納あり</v>
      </c>
      <c r="C35" s="555"/>
      <c r="D35" s="555"/>
      <c r="E35" s="555"/>
      <c r="F35" s="556" t="s">
        <v>883</v>
      </c>
      <c r="G35" s="1252" t="s">
        <v>70</v>
      </c>
      <c r="H35" s="1252"/>
      <c r="I35" s="1253"/>
    </row>
    <row r="36" spans="1:9" ht="30" customHeight="1">
      <c r="A36" s="557" t="s">
        <v>540</v>
      </c>
      <c r="B36" s="1206" t="str">
        <f>"平成 "&amp;'基礎'!B3&amp;" 年（"&amp;'基礎'!C3&amp;"）第 "&amp;'基礎'!D3&amp;" 号 "&amp;'基礎'!B123</f>
        <v>平成 18 年（ケ）第 999 号  </v>
      </c>
      <c r="C36" s="1191"/>
      <c r="D36" s="1191"/>
      <c r="E36" s="1238"/>
      <c r="F36" s="558" t="s">
        <v>878</v>
      </c>
      <c r="G36" s="1242" t="str">
        <f>'基礎'!F128</f>
        <v>1～2</v>
      </c>
      <c r="H36" s="1191"/>
      <c r="I36" s="1196"/>
    </row>
    <row r="37" spans="1:9" ht="12" customHeight="1">
      <c r="A37" s="559"/>
      <c r="B37" s="559"/>
      <c r="C37" s="559"/>
      <c r="D37" s="559"/>
      <c r="E37" s="559"/>
      <c r="F37" s="559"/>
      <c r="G37" s="559"/>
      <c r="H37" s="559"/>
      <c r="I37" s="560"/>
    </row>
    <row r="38" spans="1:9" ht="24" customHeight="1">
      <c r="A38" s="561" t="s">
        <v>117</v>
      </c>
      <c r="B38" s="1275" t="str">
        <f>VLOOKUP('要因'!B10,用途地域のコード表,4)</f>
        <v>一種低層住専</v>
      </c>
      <c r="C38" s="1275"/>
      <c r="D38" s="1275"/>
      <c r="E38" s="1278" t="s">
        <v>335</v>
      </c>
      <c r="F38" s="1278"/>
      <c r="G38" s="1243" t="str">
        <f>'要因'!B11&amp;" ％"</f>
        <v>60 ％</v>
      </c>
      <c r="H38" s="1243"/>
      <c r="I38" s="1244"/>
    </row>
    <row r="39" spans="1:9" ht="24" customHeight="1">
      <c r="A39" s="562"/>
      <c r="B39" s="1279"/>
      <c r="C39" s="1279"/>
      <c r="D39" s="1279"/>
      <c r="E39" s="1239" t="s">
        <v>339</v>
      </c>
      <c r="F39" s="1239"/>
      <c r="G39" s="1240" t="str">
        <f>'要因'!B12&amp;" ％"</f>
        <v>200 ％</v>
      </c>
      <c r="H39" s="1240"/>
      <c r="I39" s="1241"/>
    </row>
    <row r="40" spans="1:10" ht="24" customHeight="1">
      <c r="A40" s="563" t="s">
        <v>71</v>
      </c>
      <c r="B40" s="1249" t="s">
        <v>118</v>
      </c>
      <c r="C40" s="1249"/>
      <c r="D40" s="1249"/>
      <c r="E40" s="1284" t="s">
        <v>537</v>
      </c>
      <c r="F40" s="1284"/>
      <c r="G40" s="1280" t="s">
        <v>118</v>
      </c>
      <c r="H40" s="1280"/>
      <c r="I40" s="1281"/>
      <c r="J40" s="507"/>
    </row>
    <row r="41" spans="1:9" ht="24" customHeight="1">
      <c r="A41" s="564" t="s">
        <v>72</v>
      </c>
      <c r="B41" s="1237" t="s">
        <v>119</v>
      </c>
      <c r="C41" s="1237"/>
      <c r="D41" s="1237"/>
      <c r="E41" s="1245" t="s">
        <v>76</v>
      </c>
      <c r="F41" s="1245"/>
      <c r="G41" s="1282" t="s">
        <v>119</v>
      </c>
      <c r="H41" s="1282"/>
      <c r="I41" s="1283"/>
    </row>
    <row r="42" spans="1:9" ht="24" customHeight="1">
      <c r="A42" s="565" t="s">
        <v>77</v>
      </c>
      <c r="B42" s="1276" t="s">
        <v>120</v>
      </c>
      <c r="C42" s="1277"/>
      <c r="D42" s="1277"/>
      <c r="E42" s="1274"/>
      <c r="F42" s="1274"/>
      <c r="G42" s="1222" t="s">
        <v>120</v>
      </c>
      <c r="H42" s="1222"/>
      <c r="I42" s="1223"/>
    </row>
    <row r="43" spans="1:10" ht="12" customHeight="1">
      <c r="A43" s="517"/>
      <c r="B43" s="517"/>
      <c r="C43" s="517"/>
      <c r="D43" s="517"/>
      <c r="E43" s="517"/>
      <c r="F43" s="566"/>
      <c r="G43" s="566"/>
      <c r="H43" s="517"/>
      <c r="I43" s="517"/>
      <c r="J43" s="517"/>
    </row>
  </sheetData>
  <mergeCells count="68">
    <mergeCell ref="A21:A35"/>
    <mergeCell ref="G42:I42"/>
    <mergeCell ref="E42:F42"/>
    <mergeCell ref="B38:D38"/>
    <mergeCell ref="B42:D42"/>
    <mergeCell ref="E38:F38"/>
    <mergeCell ref="B39:D39"/>
    <mergeCell ref="G40:I40"/>
    <mergeCell ref="G41:I41"/>
    <mergeCell ref="E40:F40"/>
    <mergeCell ref="B13:I13"/>
    <mergeCell ref="A10:A12"/>
    <mergeCell ref="E11:F11"/>
    <mergeCell ref="E12:F12"/>
    <mergeCell ref="B10:C10"/>
    <mergeCell ref="B11:C11"/>
    <mergeCell ref="B12:C12"/>
    <mergeCell ref="E10:F10"/>
    <mergeCell ref="B14:E14"/>
    <mergeCell ref="B15:E15"/>
    <mergeCell ref="F14:G14"/>
    <mergeCell ref="B17:C17"/>
    <mergeCell ref="B16:C16"/>
    <mergeCell ref="F16:G16"/>
    <mergeCell ref="F15:G15"/>
    <mergeCell ref="F17:G17"/>
    <mergeCell ref="B21:I21"/>
    <mergeCell ref="B40:D40"/>
    <mergeCell ref="B20:C20"/>
    <mergeCell ref="G35:I35"/>
    <mergeCell ref="F33:G33"/>
    <mergeCell ref="F34:G34"/>
    <mergeCell ref="B41:D41"/>
    <mergeCell ref="B36:E36"/>
    <mergeCell ref="E39:F39"/>
    <mergeCell ref="G39:I39"/>
    <mergeCell ref="G36:I36"/>
    <mergeCell ref="G38:I38"/>
    <mergeCell ref="E41:F41"/>
    <mergeCell ref="H19:I19"/>
    <mergeCell ref="H20:I20"/>
    <mergeCell ref="B19:C19"/>
    <mergeCell ref="F18:G18"/>
    <mergeCell ref="H18:I18"/>
    <mergeCell ref="F19:G19"/>
    <mergeCell ref="F20:G20"/>
    <mergeCell ref="B18:C18"/>
    <mergeCell ref="H14:I14"/>
    <mergeCell ref="H15:I15"/>
    <mergeCell ref="H16:I16"/>
    <mergeCell ref="H17:I17"/>
    <mergeCell ref="D9:I9"/>
    <mergeCell ref="A2:C2"/>
    <mergeCell ref="A3:C3"/>
    <mergeCell ref="B6:C6"/>
    <mergeCell ref="A4:D5"/>
    <mergeCell ref="A8:A9"/>
    <mergeCell ref="B8:C8"/>
    <mergeCell ref="B9:C9"/>
    <mergeCell ref="H4:I4"/>
    <mergeCell ref="E2:G2"/>
    <mergeCell ref="D8:G8"/>
    <mergeCell ref="D6:E6"/>
    <mergeCell ref="F6:G6"/>
    <mergeCell ref="H2:I2"/>
    <mergeCell ref="H3:I3"/>
    <mergeCell ref="H6:I6"/>
    <mergeCell ref="H8:I8"/>
  </mergeCells>
  <printOptions/>
  <pageMargins left="0.93" right="0.2362204724409449" top="0.6" bottom="0.4724409448818898" header="0.2755905511811024" footer="0.2362204724409449"/>
  <pageSetup orientation="portrait" paperSize="9" scale="85" r:id="rId2"/>
  <headerFooter alignWithMargins="0">
    <oddFooter>&amp;R&amp;"ＭＳ 明朝,斜体"&amp;10&amp;P</oddFooter>
  </headerFooter>
  <drawing r:id="rId1"/>
</worksheet>
</file>

<file path=xl/worksheets/sheet14.xml><?xml version="1.0" encoding="utf-8"?>
<worksheet xmlns="http://schemas.openxmlformats.org/spreadsheetml/2006/main" xmlns:r="http://schemas.openxmlformats.org/officeDocument/2006/relationships">
  <dimension ref="A1:M25"/>
  <sheetViews>
    <sheetView showZeros="0" zoomScale="75" zoomScaleNormal="75" workbookViewId="0" topLeftCell="A1">
      <selection activeCell="N10" sqref="N10"/>
    </sheetView>
  </sheetViews>
  <sheetFormatPr defaultColWidth="8.796875" defaultRowHeight="15"/>
  <cols>
    <col min="1" max="2" width="6.59765625" style="1544" customWidth="1"/>
    <col min="3" max="4" width="10.59765625" style="1286" customWidth="1"/>
    <col min="5" max="5" width="6.59765625" style="1544" customWidth="1"/>
    <col min="6" max="7" width="10.59765625" style="1545" customWidth="1"/>
    <col min="8" max="8" width="10.59765625" style="1286" customWidth="1"/>
    <col min="9" max="9" width="10.59765625" style="1543" customWidth="1"/>
    <col min="10" max="11" width="10.59765625" style="1546" customWidth="1"/>
    <col min="12" max="12" width="18.8984375" style="1569" customWidth="1"/>
    <col min="13" max="16384" width="11" style="1286" customWidth="1"/>
  </cols>
  <sheetData>
    <row r="1" spans="1:13" ht="24" customHeight="1">
      <c r="A1" s="1542" t="s">
        <v>687</v>
      </c>
      <c r="B1" s="1543"/>
      <c r="K1" s="1547" t="str">
        <f>"平成 "&amp;'基礎'!B3&amp;"年（"&amp;'基礎'!C3&amp;"）第"&amp;'基礎'!D3&amp;"号"&amp;'基礎'!B4</f>
        <v>平成 18年（ケ）第999号0</v>
      </c>
      <c r="L1" s="1548"/>
      <c r="M1" s="1548"/>
    </row>
    <row r="2" spans="1:12" s="1544" customFormat="1" ht="24" customHeight="1">
      <c r="A2" s="1429" t="s">
        <v>688</v>
      </c>
      <c r="B2" s="1549" t="s">
        <v>78</v>
      </c>
      <c r="C2" s="1449" t="s">
        <v>295</v>
      </c>
      <c r="D2" s="1449" t="s">
        <v>689</v>
      </c>
      <c r="E2" s="1449" t="s">
        <v>690</v>
      </c>
      <c r="F2" s="1550" t="s">
        <v>691</v>
      </c>
      <c r="G2" s="1550" t="s">
        <v>692</v>
      </c>
      <c r="H2" s="1449" t="s">
        <v>693</v>
      </c>
      <c r="I2" s="1449" t="s">
        <v>694</v>
      </c>
      <c r="J2" s="1551" t="s">
        <v>695</v>
      </c>
      <c r="K2" s="1551" t="s">
        <v>696</v>
      </c>
      <c r="L2" s="1450" t="s">
        <v>697</v>
      </c>
    </row>
    <row r="3" spans="1:12" ht="24" customHeight="1">
      <c r="A3" s="1552">
        <v>1</v>
      </c>
      <c r="B3" s="1553" t="s">
        <v>957</v>
      </c>
      <c r="C3" s="1554">
        <v>142.56</v>
      </c>
      <c r="D3" s="1554">
        <v>142.56</v>
      </c>
      <c r="E3" s="1555">
        <v>1</v>
      </c>
      <c r="F3" s="1556">
        <v>150000</v>
      </c>
      <c r="G3" s="1556">
        <v>300000</v>
      </c>
      <c r="H3" s="1557"/>
      <c r="I3" s="1558" t="s">
        <v>94</v>
      </c>
      <c r="J3" s="1559">
        <v>33694</v>
      </c>
      <c r="K3" s="1559">
        <v>34423</v>
      </c>
      <c r="L3" s="1560" t="s">
        <v>698</v>
      </c>
    </row>
    <row r="4" spans="1:12" ht="24" customHeight="1">
      <c r="A4" s="1552">
        <v>2</v>
      </c>
      <c r="B4" s="1553" t="s">
        <v>90</v>
      </c>
      <c r="C4" s="1554">
        <v>132.81</v>
      </c>
      <c r="D4" s="1554">
        <v>33.2</v>
      </c>
      <c r="E4" s="1555">
        <v>1</v>
      </c>
      <c r="F4" s="1556">
        <v>35000</v>
      </c>
      <c r="G4" s="1556">
        <v>70000</v>
      </c>
      <c r="H4" s="1557"/>
      <c r="I4" s="1558" t="s">
        <v>94</v>
      </c>
      <c r="J4" s="1559">
        <v>32886</v>
      </c>
      <c r="K4" s="1559">
        <v>33554</v>
      </c>
      <c r="L4" s="1560" t="s">
        <v>698</v>
      </c>
    </row>
    <row r="5" spans="1:12" ht="24" customHeight="1">
      <c r="A5" s="1552">
        <v>2</v>
      </c>
      <c r="B5" s="1553" t="s">
        <v>91</v>
      </c>
      <c r="C5" s="1554"/>
      <c r="D5" s="1554">
        <v>33.2</v>
      </c>
      <c r="E5" s="1555">
        <v>1</v>
      </c>
      <c r="F5" s="1556">
        <v>30000</v>
      </c>
      <c r="G5" s="1556">
        <v>60000</v>
      </c>
      <c r="H5" s="1557"/>
      <c r="I5" s="1558" t="s">
        <v>94</v>
      </c>
      <c r="J5" s="1559">
        <v>33694</v>
      </c>
      <c r="K5" s="1559">
        <v>34422</v>
      </c>
      <c r="L5" s="1560" t="s">
        <v>698</v>
      </c>
    </row>
    <row r="6" spans="1:12" ht="24" customHeight="1">
      <c r="A6" s="1552">
        <v>2</v>
      </c>
      <c r="B6" s="1553" t="s">
        <v>92</v>
      </c>
      <c r="C6" s="1554" t="s">
        <v>544</v>
      </c>
      <c r="D6" s="1554">
        <v>33.2</v>
      </c>
      <c r="E6" s="1555">
        <v>1</v>
      </c>
      <c r="F6" s="1556">
        <v>30000</v>
      </c>
      <c r="G6" s="1556">
        <v>60000</v>
      </c>
      <c r="H6" s="1557"/>
      <c r="I6" s="1558" t="s">
        <v>94</v>
      </c>
      <c r="J6" s="1559">
        <v>33694</v>
      </c>
      <c r="K6" s="1559">
        <v>34422</v>
      </c>
      <c r="L6" s="1560" t="s">
        <v>698</v>
      </c>
    </row>
    <row r="7" spans="1:12" ht="24" customHeight="1">
      <c r="A7" s="1552">
        <v>2</v>
      </c>
      <c r="B7" s="1553" t="s">
        <v>93</v>
      </c>
      <c r="C7" s="1554"/>
      <c r="D7" s="1554">
        <v>33.2</v>
      </c>
      <c r="E7" s="1555">
        <v>1</v>
      </c>
      <c r="F7" s="1556">
        <v>30000</v>
      </c>
      <c r="G7" s="1556">
        <v>60000</v>
      </c>
      <c r="H7" s="1557"/>
      <c r="I7" s="1558" t="s">
        <v>94</v>
      </c>
      <c r="J7" s="1559">
        <v>33694</v>
      </c>
      <c r="K7" s="1559">
        <v>34422</v>
      </c>
      <c r="L7" s="1560" t="s">
        <v>698</v>
      </c>
    </row>
    <row r="8" spans="1:12" ht="24" customHeight="1">
      <c r="A8" s="1552">
        <v>3</v>
      </c>
      <c r="B8" s="1553" t="s">
        <v>90</v>
      </c>
      <c r="C8" s="1554">
        <v>132.81</v>
      </c>
      <c r="D8" s="1554">
        <v>33.2</v>
      </c>
      <c r="E8" s="1555">
        <v>1</v>
      </c>
      <c r="F8" s="1556">
        <v>30000</v>
      </c>
      <c r="G8" s="1556">
        <v>60000</v>
      </c>
      <c r="H8" s="1557"/>
      <c r="I8" s="1558" t="s">
        <v>94</v>
      </c>
      <c r="J8" s="1559">
        <v>33694</v>
      </c>
      <c r="K8" s="1559">
        <v>34422</v>
      </c>
      <c r="L8" s="1560" t="s">
        <v>698</v>
      </c>
    </row>
    <row r="9" spans="1:12" ht="24" customHeight="1">
      <c r="A9" s="1552">
        <v>3</v>
      </c>
      <c r="B9" s="1553" t="s">
        <v>91</v>
      </c>
      <c r="C9" s="1554"/>
      <c r="D9" s="1554">
        <v>33.2</v>
      </c>
      <c r="E9" s="1555">
        <v>1</v>
      </c>
      <c r="F9" s="1556">
        <v>30000</v>
      </c>
      <c r="G9" s="1556">
        <v>60000</v>
      </c>
      <c r="H9" s="1557"/>
      <c r="I9" s="1558" t="s">
        <v>94</v>
      </c>
      <c r="J9" s="1559">
        <v>33694</v>
      </c>
      <c r="K9" s="1559">
        <v>34422</v>
      </c>
      <c r="L9" s="1560" t="s">
        <v>698</v>
      </c>
    </row>
    <row r="10" spans="1:12" ht="24" customHeight="1">
      <c r="A10" s="1552">
        <v>3</v>
      </c>
      <c r="B10" s="1553" t="s">
        <v>92</v>
      </c>
      <c r="C10" s="1554"/>
      <c r="D10" s="1554">
        <v>33.2</v>
      </c>
      <c r="E10" s="1555">
        <v>1</v>
      </c>
      <c r="F10" s="1556">
        <v>30000</v>
      </c>
      <c r="G10" s="1556">
        <v>60000</v>
      </c>
      <c r="H10" s="1557"/>
      <c r="I10" s="1558" t="s">
        <v>94</v>
      </c>
      <c r="J10" s="1559">
        <v>33694</v>
      </c>
      <c r="K10" s="1559">
        <v>34422</v>
      </c>
      <c r="L10" s="1560" t="s">
        <v>698</v>
      </c>
    </row>
    <row r="11" spans="1:12" ht="24" customHeight="1">
      <c r="A11" s="1552">
        <v>3</v>
      </c>
      <c r="B11" s="1553" t="s">
        <v>93</v>
      </c>
      <c r="C11" s="1554"/>
      <c r="D11" s="1554">
        <v>33.2</v>
      </c>
      <c r="E11" s="1555">
        <v>1</v>
      </c>
      <c r="F11" s="1556">
        <v>30000</v>
      </c>
      <c r="G11" s="1556">
        <v>60000</v>
      </c>
      <c r="H11" s="1557"/>
      <c r="I11" s="1558" t="s">
        <v>94</v>
      </c>
      <c r="J11" s="1559">
        <v>33694</v>
      </c>
      <c r="K11" s="1559">
        <v>34422</v>
      </c>
      <c r="L11" s="1560" t="s">
        <v>698</v>
      </c>
    </row>
    <row r="12" spans="1:12" ht="24" customHeight="1">
      <c r="A12" s="1552"/>
      <c r="B12" s="1553"/>
      <c r="C12" s="1554"/>
      <c r="D12" s="1554"/>
      <c r="E12" s="1555"/>
      <c r="F12" s="1556"/>
      <c r="G12" s="1556"/>
      <c r="H12" s="1557"/>
      <c r="I12" s="1558"/>
      <c r="J12" s="1559"/>
      <c r="K12" s="1559"/>
      <c r="L12" s="1560"/>
    </row>
    <row r="13" spans="1:12" ht="24" customHeight="1">
      <c r="A13" s="1552"/>
      <c r="B13" s="1553"/>
      <c r="C13" s="1554"/>
      <c r="D13" s="1554"/>
      <c r="E13" s="1555"/>
      <c r="F13" s="1556"/>
      <c r="G13" s="1556"/>
      <c r="H13" s="1557"/>
      <c r="I13" s="1558"/>
      <c r="J13" s="1559"/>
      <c r="K13" s="1559"/>
      <c r="L13" s="1560"/>
    </row>
    <row r="14" spans="1:12" ht="24" customHeight="1">
      <c r="A14" s="1552"/>
      <c r="B14" s="1553"/>
      <c r="C14" s="1554"/>
      <c r="D14" s="1554"/>
      <c r="E14" s="1555"/>
      <c r="F14" s="1556"/>
      <c r="G14" s="1556"/>
      <c r="H14" s="1557"/>
      <c r="I14" s="1558"/>
      <c r="J14" s="1559"/>
      <c r="K14" s="1559"/>
      <c r="L14" s="1560"/>
    </row>
    <row r="15" spans="1:12" ht="24" customHeight="1">
      <c r="A15" s="1552"/>
      <c r="B15" s="1553"/>
      <c r="C15" s="1554"/>
      <c r="D15" s="1554"/>
      <c r="E15" s="1555"/>
      <c r="F15" s="1556"/>
      <c r="G15" s="1556"/>
      <c r="H15" s="1557"/>
      <c r="I15" s="1558"/>
      <c r="J15" s="1559"/>
      <c r="K15" s="1559"/>
      <c r="L15" s="1560"/>
    </row>
    <row r="16" spans="1:12" ht="24" customHeight="1">
      <c r="A16" s="1552"/>
      <c r="B16" s="1553"/>
      <c r="C16" s="1554"/>
      <c r="D16" s="1554"/>
      <c r="E16" s="1555"/>
      <c r="F16" s="1556"/>
      <c r="G16" s="1556"/>
      <c r="H16" s="1557"/>
      <c r="I16" s="1558"/>
      <c r="J16" s="1559"/>
      <c r="K16" s="1559"/>
      <c r="L16" s="1560"/>
    </row>
    <row r="17" spans="1:12" ht="24" customHeight="1">
      <c r="A17" s="1552"/>
      <c r="B17" s="1553"/>
      <c r="C17" s="1554"/>
      <c r="D17" s="1554"/>
      <c r="E17" s="1555"/>
      <c r="F17" s="1556"/>
      <c r="G17" s="1556"/>
      <c r="H17" s="1557"/>
      <c r="I17" s="1558"/>
      <c r="J17" s="1559"/>
      <c r="K17" s="1559"/>
      <c r="L17" s="1560"/>
    </row>
    <row r="18" spans="1:12" ht="24" customHeight="1">
      <c r="A18" s="1552"/>
      <c r="B18" s="1553"/>
      <c r="C18" s="1554"/>
      <c r="D18" s="1554"/>
      <c r="E18" s="1555"/>
      <c r="F18" s="1556"/>
      <c r="G18" s="1556"/>
      <c r="H18" s="1557"/>
      <c r="I18" s="1558"/>
      <c r="J18" s="1559"/>
      <c r="K18" s="1559"/>
      <c r="L18" s="1560"/>
    </row>
    <row r="19" spans="1:12" ht="24" customHeight="1">
      <c r="A19" s="1440" t="s">
        <v>699</v>
      </c>
      <c r="B19" s="1561"/>
      <c r="C19" s="1562">
        <f aca="true" t="shared" si="0" ref="C19:H19">SUM(C3:C18)</f>
        <v>408.18</v>
      </c>
      <c r="D19" s="1562">
        <f t="shared" si="0"/>
        <v>408.1599999999999</v>
      </c>
      <c r="E19" s="1563">
        <f t="shared" si="0"/>
        <v>9</v>
      </c>
      <c r="F19" s="1564">
        <f t="shared" si="0"/>
        <v>395000</v>
      </c>
      <c r="G19" s="1564">
        <f t="shared" si="0"/>
        <v>790000</v>
      </c>
      <c r="H19" s="1565">
        <f t="shared" si="0"/>
        <v>0</v>
      </c>
      <c r="I19" s="1566"/>
      <c r="J19" s="1567"/>
      <c r="K19" s="1567"/>
      <c r="L19" s="1568"/>
    </row>
    <row r="20" spans="1:2" ht="9.75" customHeight="1">
      <c r="A20" s="1286"/>
      <c r="B20" s="1286"/>
    </row>
    <row r="21" spans="1:8" ht="24" customHeight="1">
      <c r="A21" s="1543" t="s">
        <v>700</v>
      </c>
      <c r="B21" s="1543"/>
      <c r="D21" s="1543" t="s">
        <v>701</v>
      </c>
      <c r="F21" s="1286"/>
      <c r="G21" s="1286"/>
      <c r="H21" s="1543"/>
    </row>
    <row r="22" spans="1:4" ht="24" customHeight="1">
      <c r="A22" s="1286"/>
      <c r="B22" s="1286"/>
      <c r="D22" s="1543" t="s">
        <v>570</v>
      </c>
    </row>
    <row r="23" spans="1:2" ht="14.25">
      <c r="A23" s="1286"/>
      <c r="B23" s="1286"/>
    </row>
    <row r="24" spans="1:2" ht="14.25">
      <c r="A24" s="1543" t="s">
        <v>544</v>
      </c>
      <c r="B24" s="1543"/>
    </row>
    <row r="25" spans="1:2" ht="14.25">
      <c r="A25" s="1543" t="s">
        <v>544</v>
      </c>
      <c r="B25" s="1543"/>
    </row>
  </sheetData>
  <printOptions/>
  <pageMargins left="0.6692913385826772" right="0.2362204724409449" top="0.9448818897637796" bottom="0.41" header="0.5118110236220472" footer="0.2"/>
  <pageSetup orientation="landscape" paperSize="9" r:id="rId1"/>
  <headerFooter alignWithMargins="0">
    <oddFooter>&amp;R&amp;"平成明朝,斜体"&amp;9&amp;P</oddFooter>
  </headerFooter>
</worksheet>
</file>

<file path=xl/worksheets/sheet15.xml><?xml version="1.0" encoding="utf-8"?>
<worksheet xmlns="http://schemas.openxmlformats.org/spreadsheetml/2006/main" xmlns:r="http://schemas.openxmlformats.org/officeDocument/2006/relationships">
  <dimension ref="A1:M90"/>
  <sheetViews>
    <sheetView showZeros="0" zoomScale="75" zoomScaleNormal="75" workbookViewId="0" topLeftCell="A1">
      <selection activeCell="I29" sqref="I29"/>
    </sheetView>
  </sheetViews>
  <sheetFormatPr defaultColWidth="8.796875" defaultRowHeight="15"/>
  <cols>
    <col min="1" max="6" width="14.69921875" style="1286" customWidth="1"/>
    <col min="7" max="12" width="10.59765625" style="1286" customWidth="1"/>
    <col min="13" max="16384" width="11" style="1286" customWidth="1"/>
  </cols>
  <sheetData>
    <row r="1" spans="1:11" ht="14.25">
      <c r="A1" s="1285" t="s">
        <v>571</v>
      </c>
      <c r="B1" s="1285"/>
      <c r="C1" s="1285"/>
      <c r="D1" s="1285"/>
      <c r="E1" s="1285"/>
      <c r="F1" s="1285"/>
      <c r="G1" s="1285"/>
      <c r="H1" s="1285"/>
      <c r="I1" s="1285"/>
      <c r="J1" s="1285"/>
      <c r="K1" s="1285"/>
    </row>
    <row r="2" spans="1:11" ht="14.25">
      <c r="A2" s="1285" t="s">
        <v>572</v>
      </c>
      <c r="B2" s="1285"/>
      <c r="C2" s="1285"/>
      <c r="D2" s="1285"/>
      <c r="E2" s="1285"/>
      <c r="F2" s="1285"/>
      <c r="G2" s="1285"/>
      <c r="H2" s="1285"/>
      <c r="I2" s="1285"/>
      <c r="J2" s="1285"/>
      <c r="K2" s="1285"/>
    </row>
    <row r="3" spans="1:11" ht="14.25">
      <c r="A3" s="1285" t="s">
        <v>573</v>
      </c>
      <c r="B3" s="1285"/>
      <c r="C3" s="1285"/>
      <c r="D3" s="1285"/>
      <c r="E3" s="1285"/>
      <c r="F3" s="1285"/>
      <c r="G3" s="1285"/>
      <c r="H3" s="1285"/>
      <c r="I3" s="1285"/>
      <c r="J3" s="1285"/>
      <c r="K3" s="1285"/>
    </row>
    <row r="4" spans="1:11" ht="14.25">
      <c r="A4" s="1285" t="s">
        <v>574</v>
      </c>
      <c r="B4" s="1285"/>
      <c r="C4" s="1285"/>
      <c r="D4" s="1285"/>
      <c r="E4" s="1285"/>
      <c r="F4" s="1285"/>
      <c r="G4" s="1285"/>
      <c r="H4" s="1285"/>
      <c r="I4" s="1285"/>
      <c r="J4" s="1285"/>
      <c r="K4" s="1285"/>
    </row>
    <row r="5" spans="1:11" ht="14.25">
      <c r="A5" s="1285" t="s">
        <v>114</v>
      </c>
      <c r="B5" s="1285"/>
      <c r="C5" s="1285"/>
      <c r="D5" s="1285"/>
      <c r="E5" s="1285"/>
      <c r="F5" s="1285"/>
      <c r="G5" s="1285"/>
      <c r="H5" s="1285"/>
      <c r="I5" s="1285"/>
      <c r="J5" s="1285"/>
      <c r="K5" s="1285"/>
    </row>
    <row r="6" spans="1:11" ht="19.5" customHeight="1" thickBot="1">
      <c r="A6" s="1287" t="s">
        <v>575</v>
      </c>
      <c r="B6" s="1285"/>
      <c r="C6" s="1285"/>
      <c r="D6" s="1285"/>
      <c r="E6" s="1285"/>
      <c r="F6" s="1285"/>
      <c r="G6" s="1285"/>
      <c r="H6" s="1288" t="s">
        <v>576</v>
      </c>
      <c r="I6" s="1289"/>
      <c r="J6" s="1290"/>
      <c r="K6" s="1285"/>
    </row>
    <row r="7" spans="1:13" ht="19.5" customHeight="1" thickBot="1" thickTop="1">
      <c r="A7" s="1291" t="s">
        <v>577</v>
      </c>
      <c r="B7" s="1292" t="s">
        <v>578</v>
      </c>
      <c r="C7" s="1292" t="s">
        <v>579</v>
      </c>
      <c r="D7" s="1292" t="s">
        <v>580</v>
      </c>
      <c r="E7" s="1292" t="s">
        <v>581</v>
      </c>
      <c r="F7" s="1292" t="s">
        <v>582</v>
      </c>
      <c r="G7" s="1293" t="s">
        <v>583</v>
      </c>
      <c r="H7" s="1294" t="s">
        <v>707</v>
      </c>
      <c r="I7" s="1294" t="s">
        <v>708</v>
      </c>
      <c r="J7" s="1294" t="s">
        <v>709</v>
      </c>
      <c r="K7" s="1285"/>
      <c r="L7" s="1285"/>
      <c r="M7" s="1285"/>
    </row>
    <row r="8" spans="1:13" ht="19.5" customHeight="1" thickTop="1">
      <c r="A8" s="1295" t="s">
        <v>710</v>
      </c>
      <c r="B8" s="1296"/>
      <c r="C8" s="1296"/>
      <c r="D8" s="1297"/>
      <c r="E8" s="1297"/>
      <c r="F8" s="1298"/>
      <c r="G8" s="1299">
        <f>B8*D8</f>
        <v>0</v>
      </c>
      <c r="H8" s="1300">
        <f>'賃貸'!F19</f>
        <v>395000</v>
      </c>
      <c r="I8" s="1301">
        <f>'賃貸'!G19</f>
        <v>790000</v>
      </c>
      <c r="J8" s="1294">
        <f>'賃貸'!H19</f>
        <v>0</v>
      </c>
      <c r="K8" s="1285"/>
      <c r="L8" s="1285"/>
      <c r="M8" s="1285"/>
    </row>
    <row r="9" spans="1:13" ht="19.5" customHeight="1">
      <c r="A9" s="1302" t="s">
        <v>711</v>
      </c>
      <c r="B9" s="1303">
        <v>0</v>
      </c>
      <c r="C9" s="1303"/>
      <c r="D9" s="1304">
        <v>0</v>
      </c>
      <c r="E9" s="1304">
        <v>0</v>
      </c>
      <c r="F9" s="1305">
        <v>0</v>
      </c>
      <c r="G9" s="1299">
        <f>B9*D9</f>
        <v>0</v>
      </c>
      <c r="H9" s="1306">
        <f>(B9-C9)*D9</f>
        <v>0</v>
      </c>
      <c r="I9" s="1294"/>
      <c r="J9" s="1294"/>
      <c r="K9" s="1285"/>
      <c r="L9" s="1285"/>
      <c r="M9" s="1285"/>
    </row>
    <row r="10" spans="1:13" ht="19.5" customHeight="1">
      <c r="A10" s="1302" t="s">
        <v>711</v>
      </c>
      <c r="B10" s="1303">
        <v>0</v>
      </c>
      <c r="C10" s="1303"/>
      <c r="D10" s="1304">
        <v>0</v>
      </c>
      <c r="E10" s="1304">
        <v>0</v>
      </c>
      <c r="F10" s="1305">
        <v>0</v>
      </c>
      <c r="G10" s="1299">
        <f>B10*D10</f>
        <v>0</v>
      </c>
      <c r="H10" s="1306">
        <f>(B10-C10)*D10</f>
        <v>0</v>
      </c>
      <c r="I10" s="1294"/>
      <c r="J10" s="1294"/>
      <c r="K10" s="1285"/>
      <c r="L10" s="1285"/>
      <c r="M10" s="1285"/>
    </row>
    <row r="11" spans="1:13" ht="19.5" customHeight="1" thickBot="1">
      <c r="A11" s="1307" t="s">
        <v>711</v>
      </c>
      <c r="B11" s="1308"/>
      <c r="C11" s="1308"/>
      <c r="D11" s="1309"/>
      <c r="E11" s="1309"/>
      <c r="F11" s="1310"/>
      <c r="G11" s="1299">
        <f>B11*D11</f>
        <v>0</v>
      </c>
      <c r="H11" s="1306" t="s">
        <v>544</v>
      </c>
      <c r="I11" s="1294"/>
      <c r="J11" s="1294"/>
      <c r="K11" s="1285"/>
      <c r="L11" s="1285"/>
      <c r="M11" s="1285"/>
    </row>
    <row r="12" spans="1:13" ht="19.5" customHeight="1" thickTop="1">
      <c r="A12" s="1311"/>
      <c r="B12" s="1312" t="s">
        <v>578</v>
      </c>
      <c r="C12" s="1312" t="s">
        <v>716</v>
      </c>
      <c r="D12" s="1313" t="s">
        <v>544</v>
      </c>
      <c r="E12" s="1313" t="s">
        <v>717</v>
      </c>
      <c r="F12" s="1313" t="s">
        <v>718</v>
      </c>
      <c r="G12" s="1314" t="s">
        <v>583</v>
      </c>
      <c r="H12" s="1294" t="s">
        <v>719</v>
      </c>
      <c r="I12" s="1294"/>
      <c r="J12" s="1294"/>
      <c r="K12" s="1285"/>
      <c r="L12" s="1285"/>
      <c r="M12" s="1285"/>
    </row>
    <row r="13" spans="1:13" ht="19.5" customHeight="1" thickBot="1">
      <c r="A13" s="1315" t="s">
        <v>720</v>
      </c>
      <c r="B13" s="1316">
        <f>SUM(B8:B11)</f>
        <v>0</v>
      </c>
      <c r="C13" s="1316">
        <f>SUM(C8:C11)</f>
        <v>0</v>
      </c>
      <c r="D13" s="1317" t="s">
        <v>544</v>
      </c>
      <c r="E13" s="1317">
        <f>(E8*B8)+(E9*B9)+(E10*B10)+(E11*B11)</f>
        <v>0</v>
      </c>
      <c r="F13" s="1317">
        <f>(F8*B8)+(F9*B9)+(F10*B10)+(F11*B11)</f>
        <v>0</v>
      </c>
      <c r="G13" s="1318">
        <f>SUM(G8:G11)</f>
        <v>0</v>
      </c>
      <c r="H13" s="1319">
        <f>SUM(H8:H11)</f>
        <v>395000</v>
      </c>
      <c r="I13" s="1319">
        <f>SUM(I8:I11)</f>
        <v>790000</v>
      </c>
      <c r="J13" s="1319">
        <f>SUM(J8:J11)</f>
        <v>0</v>
      </c>
      <c r="K13" s="1285"/>
      <c r="L13" s="1285"/>
      <c r="M13" s="1285"/>
    </row>
    <row r="14" spans="1:13" ht="19.5" customHeight="1" thickBot="1" thickTop="1">
      <c r="A14" s="1320" t="s">
        <v>721</v>
      </c>
      <c r="B14" s="1321">
        <v>0</v>
      </c>
      <c r="C14" s="1322" t="s">
        <v>835</v>
      </c>
      <c r="D14" s="1323"/>
      <c r="E14" s="1323" t="s">
        <v>836</v>
      </c>
      <c r="F14" s="1323"/>
      <c r="G14" s="1323"/>
      <c r="H14" s="1323"/>
      <c r="I14" s="1285"/>
      <c r="J14" s="1285"/>
      <c r="K14" s="1285"/>
      <c r="L14" s="1285"/>
      <c r="M14" s="1285"/>
    </row>
    <row r="15" spans="1:11" ht="19.5" customHeight="1" thickBot="1" thickTop="1">
      <c r="A15" s="1324"/>
      <c r="B15" s="1325"/>
      <c r="C15" s="1326"/>
      <c r="D15" s="1326"/>
      <c r="E15" s="1326"/>
      <c r="F15" s="1327"/>
      <c r="G15" s="1285"/>
      <c r="H15" s="1285"/>
      <c r="I15" s="1285"/>
      <c r="J15" s="1285"/>
      <c r="K15" s="1285"/>
    </row>
    <row r="16" spans="1:11" ht="19.5" customHeight="1" thickTop="1">
      <c r="A16" s="1328" t="s">
        <v>837</v>
      </c>
      <c r="B16" s="1329" t="s">
        <v>722</v>
      </c>
      <c r="C16" s="1330">
        <f>IF(G13=0,H13*12,G13*12)</f>
        <v>4740000</v>
      </c>
      <c r="D16" s="1331"/>
      <c r="E16" s="1332"/>
      <c r="F16" s="1333" t="s">
        <v>723</v>
      </c>
      <c r="G16" s="1334">
        <v>0.05</v>
      </c>
      <c r="H16" s="1285"/>
      <c r="I16" s="1285"/>
      <c r="J16" s="1285"/>
      <c r="K16" s="1285"/>
    </row>
    <row r="17" spans="1:11" ht="19.5" customHeight="1" thickBot="1">
      <c r="A17" s="1335"/>
      <c r="B17" s="1336" t="s">
        <v>724</v>
      </c>
      <c r="C17" s="1337">
        <f>IF(E13=0,I13*E17,E13*E17)</f>
        <v>39500</v>
      </c>
      <c r="D17" s="1338" t="s">
        <v>725</v>
      </c>
      <c r="E17" s="1339">
        <f>G16</f>
        <v>0.05</v>
      </c>
      <c r="F17" s="1340" t="s">
        <v>731</v>
      </c>
      <c r="G17" s="1341">
        <v>0.005</v>
      </c>
      <c r="H17" s="1285"/>
      <c r="I17" s="1285"/>
      <c r="J17" s="1285"/>
      <c r="K17" s="1285"/>
    </row>
    <row r="18" spans="1:11" ht="19.5" customHeight="1" thickBot="1" thickTop="1">
      <c r="A18" s="1335"/>
      <c r="B18" s="1336" t="s">
        <v>732</v>
      </c>
      <c r="C18" s="1337">
        <f>IF(F13=0,ROUND(J13*E20,-2),ROUND(F13*E20,-2))</f>
        <v>0</v>
      </c>
      <c r="D18" s="1342" t="s">
        <v>733</v>
      </c>
      <c r="E18" s="1343">
        <v>3</v>
      </c>
      <c r="F18" s="1344" t="s">
        <v>734</v>
      </c>
      <c r="G18" s="1345">
        <v>0</v>
      </c>
      <c r="H18" s="1346" t="s">
        <v>544</v>
      </c>
      <c r="I18" s="1285"/>
      <c r="J18" s="1285"/>
      <c r="K18" s="1285"/>
    </row>
    <row r="19" spans="1:11" ht="19.5" customHeight="1" thickBot="1" thickTop="1">
      <c r="A19" s="1335"/>
      <c r="B19" s="1336" t="s">
        <v>735</v>
      </c>
      <c r="C19" s="1337">
        <f>B14*12</f>
        <v>0</v>
      </c>
      <c r="D19" s="1338" t="s">
        <v>736</v>
      </c>
      <c r="E19" s="1347">
        <f>G16</f>
        <v>0.05</v>
      </c>
      <c r="F19" s="1348" t="s">
        <v>854</v>
      </c>
      <c r="G19" s="1349">
        <f>ROUND((G16-G17)/(1-((1+G17)/(1+G16))^(G20)),6)</f>
        <v>0.126871</v>
      </c>
      <c r="H19" s="1346" t="s">
        <v>544</v>
      </c>
      <c r="I19" s="1285"/>
      <c r="J19" s="1285"/>
      <c r="K19" s="1285"/>
    </row>
    <row r="20" spans="1:11" ht="19.5" customHeight="1" thickBot="1" thickTop="1">
      <c r="A20" s="1350"/>
      <c r="B20" s="1351"/>
      <c r="C20" s="1352"/>
      <c r="D20" s="1353" t="s">
        <v>973</v>
      </c>
      <c r="E20" s="1354">
        <f>ROUND(E19+E19/((1+E19)^E18-1),5)</f>
        <v>0.36721</v>
      </c>
      <c r="F20" s="1348" t="s">
        <v>974</v>
      </c>
      <c r="G20" s="1355">
        <f>IF(G18=0,('要因'!B48),G18)</f>
        <v>10</v>
      </c>
      <c r="H20" s="1346" t="s">
        <v>544</v>
      </c>
      <c r="I20" s="1285"/>
      <c r="J20" s="1285"/>
      <c r="K20" s="1285"/>
    </row>
    <row r="21" spans="1:11" ht="19.5" customHeight="1" thickTop="1">
      <c r="A21" s="1356"/>
      <c r="B21" s="1312" t="s">
        <v>975</v>
      </c>
      <c r="C21" s="1357">
        <f>C16+C19</f>
        <v>4740000</v>
      </c>
      <c r="D21" s="1358" t="s">
        <v>976</v>
      </c>
      <c r="E21" s="1359"/>
      <c r="F21" s="1346" t="s">
        <v>977</v>
      </c>
      <c r="G21" s="1360"/>
      <c r="H21" s="1346"/>
      <c r="I21" s="1285"/>
      <c r="J21" s="1285"/>
      <c r="K21" s="1285"/>
    </row>
    <row r="22" spans="1:11" ht="19.5" customHeight="1">
      <c r="A22" s="1350"/>
      <c r="B22" s="1361" t="s">
        <v>978</v>
      </c>
      <c r="C22" s="1352">
        <f>SUM(C16:C20)</f>
        <v>4779500</v>
      </c>
      <c r="D22" s="1351" t="s">
        <v>856</v>
      </c>
      <c r="E22" s="1362"/>
      <c r="F22" s="1346" t="s">
        <v>857</v>
      </c>
      <c r="G22" s="1360"/>
      <c r="H22" s="1346"/>
      <c r="I22" s="1285"/>
      <c r="J22" s="1285"/>
      <c r="K22" s="1285"/>
    </row>
    <row r="23" spans="1:11" ht="19.5" customHeight="1" thickBot="1">
      <c r="A23" s="1363" t="s">
        <v>858</v>
      </c>
      <c r="B23" s="1325"/>
      <c r="C23" s="1326"/>
      <c r="D23" s="1364"/>
      <c r="E23" s="1365"/>
      <c r="F23" s="1346" t="s">
        <v>63</v>
      </c>
      <c r="G23" s="1285"/>
      <c r="H23" s="1285"/>
      <c r="I23" s="1285"/>
      <c r="J23" s="1285"/>
      <c r="K23" s="1285"/>
    </row>
    <row r="24" spans="1:11" ht="19.5" customHeight="1" thickTop="1">
      <c r="A24" s="1366" t="s">
        <v>64</v>
      </c>
      <c r="B24" s="1367" t="s">
        <v>65</v>
      </c>
      <c r="C24" s="1368">
        <f>G27*E24</f>
        <v>150000</v>
      </c>
      <c r="D24" s="1369" t="s">
        <v>66</v>
      </c>
      <c r="E24" s="1370">
        <v>0.01</v>
      </c>
      <c r="F24" s="1371" t="s">
        <v>67</v>
      </c>
      <c r="G24" s="1372">
        <f>G25+G26</f>
        <v>25988000</v>
      </c>
      <c r="H24" s="1372"/>
      <c r="I24" s="1285"/>
      <c r="J24" s="1285"/>
      <c r="K24" s="1285"/>
    </row>
    <row r="25" spans="1:11" ht="19.5" customHeight="1">
      <c r="A25" s="1373"/>
      <c r="B25" s="1336" t="s">
        <v>979</v>
      </c>
      <c r="C25" s="1337">
        <f>C16*E25</f>
        <v>237000</v>
      </c>
      <c r="D25" s="1374" t="s">
        <v>980</v>
      </c>
      <c r="E25" s="1375">
        <v>0.05</v>
      </c>
      <c r="F25" s="1371" t="s">
        <v>981</v>
      </c>
      <c r="G25" s="1372">
        <f>'試算'!B37</f>
        <v>23750000</v>
      </c>
      <c r="H25" s="1372"/>
      <c r="I25" s="1285"/>
      <c r="J25" s="1285"/>
      <c r="K25" s="1285"/>
    </row>
    <row r="26" spans="1:11" ht="19.5" customHeight="1">
      <c r="A26" s="1376"/>
      <c r="B26" s="1336" t="s">
        <v>860</v>
      </c>
      <c r="C26" s="1337">
        <f>G25*E26</f>
        <v>95000</v>
      </c>
      <c r="D26" s="1377" t="s">
        <v>861</v>
      </c>
      <c r="E26" s="1378">
        <v>0.004</v>
      </c>
      <c r="F26" s="1371" t="s">
        <v>862</v>
      </c>
      <c r="G26" s="1372">
        <f>'試算'!B65</f>
        <v>2238000</v>
      </c>
      <c r="H26" s="1372"/>
      <c r="I26" s="1285"/>
      <c r="J26" s="1285"/>
      <c r="K26" s="1285"/>
    </row>
    <row r="27" spans="1:11" ht="19.5" customHeight="1">
      <c r="A27" s="1376"/>
      <c r="B27" s="1336" t="s">
        <v>863</v>
      </c>
      <c r="C27" s="1337">
        <f>G26*E27</f>
        <v>22380</v>
      </c>
      <c r="D27" s="1377" t="s">
        <v>864</v>
      </c>
      <c r="E27" s="1378">
        <v>0.01</v>
      </c>
      <c r="F27" s="1379" t="s">
        <v>865</v>
      </c>
      <c r="G27" s="1380">
        <f>'試算'!B56</f>
        <v>15000000</v>
      </c>
      <c r="H27" s="1380"/>
      <c r="I27" s="1285"/>
      <c r="J27" s="1285"/>
      <c r="K27" s="1285"/>
    </row>
    <row r="28" spans="1:11" ht="19.5" customHeight="1">
      <c r="A28" s="1376"/>
      <c r="B28" s="1336" t="s">
        <v>751</v>
      </c>
      <c r="C28" s="1337">
        <f>G26*E28</f>
        <v>4476</v>
      </c>
      <c r="D28" s="1381" t="s">
        <v>864</v>
      </c>
      <c r="E28" s="1378">
        <v>0.002</v>
      </c>
      <c r="F28" s="1285" t="s">
        <v>752</v>
      </c>
      <c r="G28" s="1285" t="s">
        <v>753</v>
      </c>
      <c r="H28" s="1285"/>
      <c r="I28" s="1285"/>
      <c r="J28" s="1285"/>
      <c r="K28" s="1285"/>
    </row>
    <row r="29" spans="1:11" ht="19.5" customHeight="1">
      <c r="A29" s="1376"/>
      <c r="B29" s="1336" t="s">
        <v>871</v>
      </c>
      <c r="C29" s="1337">
        <f>C16*E29</f>
        <v>237000</v>
      </c>
      <c r="D29" s="1342" t="s">
        <v>980</v>
      </c>
      <c r="E29" s="1378">
        <v>0.05</v>
      </c>
      <c r="F29" s="1285" t="s">
        <v>872</v>
      </c>
      <c r="G29" s="1285" t="s">
        <v>867</v>
      </c>
      <c r="H29" s="1285"/>
      <c r="I29" s="1285"/>
      <c r="J29" s="1285"/>
      <c r="K29" s="1285"/>
    </row>
    <row r="30" spans="1:11" ht="19.5" customHeight="1">
      <c r="A30" s="1376"/>
      <c r="B30" s="1336" t="s">
        <v>868</v>
      </c>
      <c r="C30" s="1337">
        <f>C16*E30</f>
        <v>948000</v>
      </c>
      <c r="D30" s="1342" t="s">
        <v>980</v>
      </c>
      <c r="E30" s="1378">
        <v>0.2</v>
      </c>
      <c r="F30" s="1285"/>
      <c r="G30" s="1285"/>
      <c r="H30" s="1285"/>
      <c r="I30" s="1285"/>
      <c r="J30" s="1285"/>
      <c r="K30" s="1285"/>
    </row>
    <row r="31" spans="1:11" ht="19.5" customHeight="1" thickBot="1">
      <c r="A31" s="1382"/>
      <c r="B31" s="1336" t="s">
        <v>869</v>
      </c>
      <c r="C31" s="1337">
        <f>C16*E31</f>
        <v>0</v>
      </c>
      <c r="D31" s="1342" t="s">
        <v>980</v>
      </c>
      <c r="E31" s="1383">
        <v>0</v>
      </c>
      <c r="F31" s="1285"/>
      <c r="G31" s="1285"/>
      <c r="H31" s="1285"/>
      <c r="I31" s="1285"/>
      <c r="J31" s="1285"/>
      <c r="K31" s="1285"/>
    </row>
    <row r="32" spans="1:11" ht="19.5" customHeight="1" thickTop="1">
      <c r="A32" s="1384"/>
      <c r="B32" s="1385" t="s">
        <v>870</v>
      </c>
      <c r="C32" s="1386">
        <f>SUM(C24:C31)</f>
        <v>1693856</v>
      </c>
      <c r="D32" s="1387"/>
      <c r="E32" s="1388"/>
      <c r="F32" s="1285"/>
      <c r="G32" s="1285"/>
      <c r="H32" s="1285"/>
      <c r="I32" s="1285"/>
      <c r="J32" s="1285"/>
      <c r="K32" s="1285"/>
    </row>
    <row r="33" spans="1:11" ht="19.5" customHeight="1">
      <c r="A33" s="1376" t="s">
        <v>985</v>
      </c>
      <c r="B33" s="1389"/>
      <c r="C33" s="1390"/>
      <c r="D33" s="1325"/>
      <c r="E33" s="1391"/>
      <c r="F33" s="1285"/>
      <c r="G33" s="1285"/>
      <c r="H33" s="1285"/>
      <c r="I33" s="1285"/>
      <c r="J33" s="1285"/>
      <c r="K33" s="1285"/>
    </row>
    <row r="34" spans="1:11" ht="19.5" customHeight="1">
      <c r="A34" s="1392"/>
      <c r="B34" s="1325"/>
      <c r="C34" s="1393"/>
      <c r="D34" s="1325"/>
      <c r="E34" s="1391"/>
      <c r="F34" s="1285" t="s">
        <v>874</v>
      </c>
      <c r="G34" s="1285" t="s">
        <v>544</v>
      </c>
      <c r="H34" s="1364" t="s">
        <v>544</v>
      </c>
      <c r="I34" s="1285"/>
      <c r="J34" s="1285"/>
      <c r="K34" s="1285"/>
    </row>
    <row r="35" spans="1:11" ht="19.5" customHeight="1">
      <c r="A35" s="1394" t="s">
        <v>754</v>
      </c>
      <c r="B35" s="1329" t="s">
        <v>755</v>
      </c>
      <c r="C35" s="1395">
        <f>C21-C32</f>
        <v>3046144</v>
      </c>
      <c r="D35" s="1396" t="s">
        <v>88</v>
      </c>
      <c r="E35" s="1397"/>
      <c r="F35" s="1398" t="s">
        <v>756</v>
      </c>
      <c r="G35" s="1399">
        <f>C22-C32</f>
        <v>3085644</v>
      </c>
      <c r="H35" s="1364" t="s">
        <v>544</v>
      </c>
      <c r="I35" s="1285"/>
      <c r="J35" s="1285"/>
      <c r="K35" s="1285"/>
    </row>
    <row r="36" spans="1:11" ht="19.5" customHeight="1">
      <c r="A36" s="1400" t="s">
        <v>757</v>
      </c>
      <c r="B36" s="1401" t="s">
        <v>758</v>
      </c>
      <c r="C36" s="1402">
        <f>ROUND((G25*E36+G26*E37)/(G24),5)</f>
        <v>0.05205</v>
      </c>
      <c r="D36" s="1401" t="s">
        <v>759</v>
      </c>
      <c r="E36" s="1403">
        <f>G16-G17</f>
        <v>0.045000000000000005</v>
      </c>
      <c r="F36" s="1404"/>
      <c r="G36" s="1405" t="s">
        <v>544</v>
      </c>
      <c r="H36" s="1364" t="s">
        <v>544</v>
      </c>
      <c r="I36" s="1285"/>
      <c r="J36" s="1285"/>
      <c r="K36" s="1285"/>
    </row>
    <row r="37" spans="1:11" ht="19.5" customHeight="1">
      <c r="A37" s="1406"/>
      <c r="B37" s="1312"/>
      <c r="C37" s="1407"/>
      <c r="D37" s="1312" t="s">
        <v>608</v>
      </c>
      <c r="E37" s="1408">
        <f>G19</f>
        <v>0.126871</v>
      </c>
      <c r="F37" s="1404"/>
      <c r="G37" s="1405"/>
      <c r="H37" s="1285"/>
      <c r="I37" s="1285"/>
      <c r="J37" s="1285"/>
      <c r="K37" s="1285"/>
    </row>
    <row r="38" spans="1:11" ht="19.5" customHeight="1">
      <c r="A38" s="1409" t="s">
        <v>609</v>
      </c>
      <c r="B38" s="1410"/>
      <c r="C38" s="1411"/>
      <c r="D38" s="1411"/>
      <c r="E38" s="1412"/>
      <c r="F38" s="1404"/>
      <c r="G38" s="1405"/>
      <c r="H38" s="1364"/>
      <c r="I38" s="1285"/>
      <c r="J38" s="1285"/>
      <c r="K38" s="1285"/>
    </row>
    <row r="39" spans="1:11" ht="19.5" customHeight="1">
      <c r="A39" s="1413" t="s">
        <v>610</v>
      </c>
      <c r="B39" s="1414"/>
      <c r="C39" s="1415">
        <f>ROUNDDOWN(C35/C36,-4)</f>
        <v>58520000</v>
      </c>
      <c r="D39" s="1416"/>
      <c r="E39" s="1417">
        <f>ROUNDDOWN(C39/G24,3)</f>
        <v>2.251</v>
      </c>
      <c r="F39" s="1418" t="s">
        <v>611</v>
      </c>
      <c r="G39" s="1419">
        <f>ROUNDDOWN(G35/C36,-4)</f>
        <v>59280000</v>
      </c>
      <c r="H39" s="1393"/>
      <c r="I39" s="1285"/>
      <c r="J39" s="1285"/>
      <c r="K39" s="1285"/>
    </row>
    <row r="40" spans="1:11" ht="19.5" customHeight="1">
      <c r="A40" s="1420" t="s">
        <v>613</v>
      </c>
      <c r="B40" s="1421"/>
      <c r="C40" s="1422"/>
      <c r="D40" s="1289"/>
      <c r="E40" s="1423"/>
      <c r="F40" s="1418" t="s">
        <v>614</v>
      </c>
      <c r="G40" s="1424">
        <f>ROUNDDOWN(G39/G24,3)</f>
        <v>2.281</v>
      </c>
      <c r="H40" s="1364"/>
      <c r="I40" s="1285"/>
      <c r="J40" s="1285"/>
      <c r="K40" s="1285"/>
    </row>
    <row r="41" spans="1:11" ht="19.5" customHeight="1">
      <c r="A41" s="1425" t="str">
        <f>"（注）収益価格は積算価格の［  "&amp;E39*100&amp;"％］である。"</f>
        <v>（注）収益価格は積算価格の［  225.1％］である。</v>
      </c>
      <c r="B41" s="1421"/>
      <c r="C41" s="1421"/>
      <c r="D41" s="1289"/>
      <c r="E41" s="1423"/>
      <c r="F41" s="1426"/>
      <c r="G41" s="1427"/>
      <c r="H41" s="1285"/>
      <c r="I41" s="1285"/>
      <c r="J41" s="1285"/>
      <c r="K41" s="1285"/>
    </row>
    <row r="42" spans="1:11" ht="19.5" customHeight="1">
      <c r="A42" s="1285"/>
      <c r="B42" s="1285"/>
      <c r="C42" s="1285"/>
      <c r="D42" s="1285"/>
      <c r="E42" s="1285"/>
      <c r="F42" s="1285"/>
      <c r="G42" s="1285"/>
      <c r="H42" s="1285"/>
      <c r="I42" s="1285"/>
      <c r="J42" s="1285"/>
      <c r="K42" s="1285"/>
    </row>
    <row r="43" spans="1:11" ht="19.5" customHeight="1">
      <c r="A43" s="1285"/>
      <c r="B43" s="1285"/>
      <c r="C43" s="1285"/>
      <c r="D43" s="1285"/>
      <c r="E43" s="1285"/>
      <c r="F43" s="1285"/>
      <c r="G43" s="1285"/>
      <c r="H43" s="1285"/>
      <c r="I43" s="1285"/>
      <c r="J43" s="1285"/>
      <c r="K43" s="1285"/>
    </row>
    <row r="44" spans="1:11" ht="19.5" customHeight="1">
      <c r="A44" s="1285"/>
      <c r="B44" s="1285"/>
      <c r="C44" s="1285"/>
      <c r="D44" s="1285"/>
      <c r="E44" s="1285"/>
      <c r="F44" s="1285"/>
      <c r="G44" s="1285"/>
      <c r="H44" s="1285"/>
      <c r="I44" s="1285"/>
      <c r="J44" s="1285"/>
      <c r="K44" s="1285"/>
    </row>
    <row r="45" spans="1:5" ht="18.75" customHeight="1">
      <c r="A45" s="553"/>
      <c r="B45" s="553"/>
      <c r="C45" s="553"/>
      <c r="D45" s="553"/>
      <c r="E45" s="553"/>
    </row>
    <row r="46" spans="1:5" ht="24" customHeight="1">
      <c r="A46" s="1428" t="s">
        <v>615</v>
      </c>
      <c r="B46" s="553"/>
      <c r="C46" s="553"/>
      <c r="D46" s="553"/>
      <c r="E46" s="553"/>
    </row>
    <row r="47" spans="1:6" ht="24" customHeight="1">
      <c r="A47" s="1429" t="s">
        <v>540</v>
      </c>
      <c r="B47" s="1430" t="str">
        <f>"平成 "&amp;'基礎'!B3&amp;" 年（"&amp;'基礎'!C3&amp;"）第 "&amp;'基礎'!D3&amp;" 号  "&amp;'基礎'!B4</f>
        <v>平成 18 年（ケ）第 999 号  0</v>
      </c>
      <c r="C47" s="1431"/>
      <c r="D47" s="1431"/>
      <c r="E47" s="1432"/>
      <c r="F47" s="1433"/>
    </row>
    <row r="48" spans="1:6" ht="24" customHeight="1">
      <c r="A48" s="1434" t="s">
        <v>616</v>
      </c>
      <c r="B48" s="1435">
        <f>'試算'!B161</f>
        <v>100</v>
      </c>
      <c r="C48" s="1436" t="s">
        <v>544</v>
      </c>
      <c r="D48" s="1437" t="s">
        <v>617</v>
      </c>
      <c r="E48" s="1438">
        <f>G25</f>
        <v>23750000</v>
      </c>
      <c r="F48" s="1439" t="s">
        <v>618</v>
      </c>
    </row>
    <row r="49" spans="1:6" ht="24" customHeight="1">
      <c r="A49" s="1440" t="s">
        <v>539</v>
      </c>
      <c r="B49" s="1441">
        <f>'試算'!B55</f>
        <v>100</v>
      </c>
      <c r="C49" s="1442" t="s">
        <v>544</v>
      </c>
      <c r="D49" s="1443" t="s">
        <v>619</v>
      </c>
      <c r="E49" s="1444">
        <f>G26</f>
        <v>2238000</v>
      </c>
      <c r="F49" s="1445">
        <f>SUM(E48:E49)</f>
        <v>25988000</v>
      </c>
    </row>
    <row r="50" spans="1:7" ht="13.5" customHeight="1">
      <c r="A50" s="1446"/>
      <c r="B50" s="1446"/>
      <c r="C50" s="1446"/>
      <c r="D50" s="1447" t="s">
        <v>544</v>
      </c>
      <c r="E50" s="1448"/>
      <c r="F50" s="1448"/>
      <c r="G50" s="1448"/>
    </row>
    <row r="51" spans="1:6" ht="24" customHeight="1">
      <c r="A51" s="1429" t="s">
        <v>577</v>
      </c>
      <c r="B51" s="1449" t="s">
        <v>578</v>
      </c>
      <c r="C51" s="1449" t="s">
        <v>579</v>
      </c>
      <c r="D51" s="1449" t="s">
        <v>580</v>
      </c>
      <c r="E51" s="1449" t="s">
        <v>581</v>
      </c>
      <c r="F51" s="1450" t="s">
        <v>582</v>
      </c>
    </row>
    <row r="52" spans="1:6" ht="24" customHeight="1">
      <c r="A52" s="1451" t="str">
        <f>'収益'!A8</f>
        <v>　※添付明細書１．　賃貸借状況に記載の通りである。</v>
      </c>
      <c r="B52" s="1452"/>
      <c r="C52" s="1452"/>
      <c r="D52" s="1453"/>
      <c r="E52" s="1453"/>
      <c r="F52" s="1454"/>
    </row>
    <row r="53" spans="1:6" ht="24" customHeight="1">
      <c r="A53" s="1434" t="str">
        <f>'収益'!A9</f>
        <v> </v>
      </c>
      <c r="B53" s="1452">
        <f>B9</f>
        <v>0</v>
      </c>
      <c r="C53" s="1452">
        <f>C9</f>
        <v>0</v>
      </c>
      <c r="D53" s="1453">
        <f>D9</f>
        <v>0</v>
      </c>
      <c r="E53" s="1453">
        <f>E9</f>
        <v>0</v>
      </c>
      <c r="F53" s="1454">
        <f>F9</f>
        <v>0</v>
      </c>
    </row>
    <row r="54" spans="1:6" ht="24" customHeight="1">
      <c r="A54" s="1440" t="s">
        <v>720</v>
      </c>
      <c r="B54" s="1443">
        <f>B13</f>
        <v>0</v>
      </c>
      <c r="C54" s="1443">
        <f>C13</f>
        <v>0</v>
      </c>
      <c r="D54" s="1455">
        <f>G13</f>
        <v>0</v>
      </c>
      <c r="E54" s="1455">
        <f>E13</f>
        <v>0</v>
      </c>
      <c r="F54" s="1456">
        <f>F13</f>
        <v>0</v>
      </c>
    </row>
    <row r="55" spans="1:6" ht="24" customHeight="1">
      <c r="A55" s="1457" t="s">
        <v>620</v>
      </c>
      <c r="B55" s="1458"/>
      <c r="C55" s="1459"/>
      <c r="D55" s="1459"/>
      <c r="E55" s="1460"/>
      <c r="F55" s="1461"/>
    </row>
    <row r="56" spans="1:6" ht="24" customHeight="1">
      <c r="A56" s="1462" t="s">
        <v>837</v>
      </c>
      <c r="B56" s="1463" t="s">
        <v>621</v>
      </c>
      <c r="C56" s="1464"/>
      <c r="D56" s="1465" t="s">
        <v>622</v>
      </c>
      <c r="E56" s="1466"/>
      <c r="F56" s="1467"/>
    </row>
    <row r="57" spans="1:6" ht="24" customHeight="1">
      <c r="A57" s="1468"/>
      <c r="B57" s="1437" t="s">
        <v>722</v>
      </c>
      <c r="C57" s="1469">
        <f>C16</f>
        <v>4740000</v>
      </c>
      <c r="D57" s="1469">
        <f>C16</f>
        <v>4740000</v>
      </c>
      <c r="E57" s="1437" t="s">
        <v>623</v>
      </c>
      <c r="F57" s="1470">
        <f>G16</f>
        <v>0.05</v>
      </c>
    </row>
    <row r="58" spans="1:6" ht="24" customHeight="1">
      <c r="A58" s="1471"/>
      <c r="B58" s="1437" t="str">
        <f>B17</f>
        <v>預り金運用益</v>
      </c>
      <c r="C58" s="1472"/>
      <c r="D58" s="1469">
        <f>C17</f>
        <v>39500</v>
      </c>
      <c r="E58" s="1437" t="s">
        <v>632</v>
      </c>
      <c r="F58" s="1473">
        <f>E18</f>
        <v>3</v>
      </c>
    </row>
    <row r="59" spans="1:6" ht="24" customHeight="1">
      <c r="A59" s="1471"/>
      <c r="B59" s="1437" t="str">
        <f>B18</f>
        <v>一時金償却額</v>
      </c>
      <c r="C59" s="1472"/>
      <c r="D59" s="1469">
        <f>C18</f>
        <v>0</v>
      </c>
      <c r="E59" s="1437" t="s">
        <v>633</v>
      </c>
      <c r="F59" s="1470">
        <f>E19</f>
        <v>0.05</v>
      </c>
    </row>
    <row r="60" spans="1:6" ht="24" customHeight="1">
      <c r="A60" s="1471"/>
      <c r="B60" s="1437" t="str">
        <f>B19</f>
        <v>その他収入</v>
      </c>
      <c r="C60" s="1469">
        <f>C19</f>
        <v>0</v>
      </c>
      <c r="D60" s="1469">
        <f>C19</f>
        <v>0</v>
      </c>
      <c r="E60" s="1437" t="s">
        <v>634</v>
      </c>
      <c r="F60" s="1474">
        <f>E20</f>
        <v>0.36721</v>
      </c>
    </row>
    <row r="61" spans="1:6" ht="24" customHeight="1">
      <c r="A61" s="1475"/>
      <c r="B61" s="1443" t="s">
        <v>635</v>
      </c>
      <c r="C61" s="1476">
        <f>C21</f>
        <v>4740000</v>
      </c>
      <c r="D61" s="1476">
        <f>C22</f>
        <v>4779500</v>
      </c>
      <c r="E61" s="1477"/>
      <c r="F61" s="1478"/>
    </row>
    <row r="62" spans="1:6" ht="24" customHeight="1">
      <c r="A62" s="1479" t="s">
        <v>386</v>
      </c>
      <c r="B62" s="1458"/>
      <c r="C62" s="1459"/>
      <c r="D62" s="1480"/>
      <c r="E62" s="1481"/>
      <c r="F62" s="1482"/>
    </row>
    <row r="63" spans="1:6" ht="24" customHeight="1">
      <c r="A63" s="1483" t="s">
        <v>64</v>
      </c>
      <c r="B63" s="1484" t="s">
        <v>65</v>
      </c>
      <c r="C63" s="1485">
        <f>C24</f>
        <v>150000</v>
      </c>
      <c r="D63" s="1486" t="s">
        <v>66</v>
      </c>
      <c r="E63" s="1487"/>
      <c r="F63" s="1488">
        <f>E24</f>
        <v>0.01</v>
      </c>
    </row>
    <row r="64" spans="1:6" ht="24" customHeight="1">
      <c r="A64" s="1489"/>
      <c r="B64" s="1249"/>
      <c r="C64" s="1490"/>
      <c r="D64" s="1491" t="s">
        <v>865</v>
      </c>
      <c r="E64" s="1492"/>
      <c r="F64" s="1493">
        <f>G27</f>
        <v>15000000</v>
      </c>
    </row>
    <row r="65" spans="1:6" ht="24" customHeight="1">
      <c r="A65" s="1494"/>
      <c r="B65" s="1437" t="s">
        <v>979</v>
      </c>
      <c r="C65" s="1469">
        <f aca="true" t="shared" si="0" ref="C65:C72">C25</f>
        <v>237000</v>
      </c>
      <c r="D65" s="1495" t="s">
        <v>980</v>
      </c>
      <c r="E65" s="1496"/>
      <c r="F65" s="1497">
        <f aca="true" t="shared" si="1" ref="F65:F71">E25</f>
        <v>0.05</v>
      </c>
    </row>
    <row r="66" spans="1:6" ht="24" customHeight="1">
      <c r="A66" s="1494"/>
      <c r="B66" s="1437" t="s">
        <v>860</v>
      </c>
      <c r="C66" s="1469">
        <f t="shared" si="0"/>
        <v>95000</v>
      </c>
      <c r="D66" s="1495" t="str">
        <f>D26</f>
        <v>推定土地価格の</v>
      </c>
      <c r="E66" s="1496"/>
      <c r="F66" s="1497">
        <f t="shared" si="1"/>
        <v>0.004</v>
      </c>
    </row>
    <row r="67" spans="1:6" ht="24" customHeight="1">
      <c r="A67" s="1494"/>
      <c r="B67" s="1437" t="s">
        <v>863</v>
      </c>
      <c r="C67" s="1469">
        <f t="shared" si="0"/>
        <v>22380</v>
      </c>
      <c r="D67" s="1495" t="str">
        <f>D27</f>
        <v>建物積算価格の</v>
      </c>
      <c r="E67" s="1496"/>
      <c r="F67" s="1497">
        <f t="shared" si="1"/>
        <v>0.01</v>
      </c>
    </row>
    <row r="68" spans="1:6" ht="24" customHeight="1">
      <c r="A68" s="1494"/>
      <c r="B68" s="1437" t="s">
        <v>751</v>
      </c>
      <c r="C68" s="1469">
        <f t="shared" si="0"/>
        <v>4476</v>
      </c>
      <c r="D68" s="1495" t="s">
        <v>864</v>
      </c>
      <c r="E68" s="1496"/>
      <c r="F68" s="1497">
        <f t="shared" si="1"/>
        <v>0.002</v>
      </c>
    </row>
    <row r="69" spans="1:6" ht="24" customHeight="1">
      <c r="A69" s="1494"/>
      <c r="B69" s="1437" t="s">
        <v>871</v>
      </c>
      <c r="C69" s="1469">
        <f t="shared" si="0"/>
        <v>237000</v>
      </c>
      <c r="D69" s="1495" t="s">
        <v>980</v>
      </c>
      <c r="E69" s="1496"/>
      <c r="F69" s="1497">
        <f t="shared" si="1"/>
        <v>0.05</v>
      </c>
    </row>
    <row r="70" spans="1:6" ht="24" customHeight="1">
      <c r="A70" s="1494"/>
      <c r="B70" s="1437" t="s">
        <v>868</v>
      </c>
      <c r="C70" s="1469">
        <f t="shared" si="0"/>
        <v>948000</v>
      </c>
      <c r="D70" s="1495" t="s">
        <v>980</v>
      </c>
      <c r="E70" s="1496"/>
      <c r="F70" s="1497">
        <f t="shared" si="1"/>
        <v>0.2</v>
      </c>
    </row>
    <row r="71" spans="1:6" ht="24" customHeight="1">
      <c r="A71" s="1471"/>
      <c r="B71" s="1437" t="s">
        <v>869</v>
      </c>
      <c r="C71" s="1469">
        <f t="shared" si="0"/>
        <v>0</v>
      </c>
      <c r="D71" s="1495" t="s">
        <v>980</v>
      </c>
      <c r="E71" s="1496"/>
      <c r="F71" s="1497">
        <f t="shared" si="1"/>
        <v>0</v>
      </c>
    </row>
    <row r="72" spans="1:6" ht="24" customHeight="1">
      <c r="A72" s="1498"/>
      <c r="B72" s="1443" t="s">
        <v>870</v>
      </c>
      <c r="C72" s="1499">
        <f t="shared" si="0"/>
        <v>1693856</v>
      </c>
      <c r="D72" s="1500" t="s">
        <v>387</v>
      </c>
      <c r="E72" s="1501"/>
      <c r="F72" s="1502">
        <f>C72/C61</f>
        <v>0.3573535864978903</v>
      </c>
    </row>
    <row r="73" spans="1:6" ht="24" customHeight="1">
      <c r="A73" s="1479" t="s">
        <v>284</v>
      </c>
      <c r="B73" s="1458"/>
      <c r="C73" s="1503"/>
      <c r="D73" s="1458"/>
      <c r="E73" s="1504"/>
      <c r="F73" s="1505"/>
    </row>
    <row r="74" spans="1:6" ht="24" customHeight="1">
      <c r="A74" s="1429" t="str">
        <f>'収益'!F16</f>
        <v>(基本利率)</v>
      </c>
      <c r="B74" s="1506">
        <f>G16</f>
        <v>0.05</v>
      </c>
      <c r="C74" s="1507" t="s">
        <v>285</v>
      </c>
      <c r="D74" s="1507"/>
      <c r="E74" s="1507"/>
      <c r="F74" s="1508">
        <f>E36</f>
        <v>0.045000000000000005</v>
      </c>
    </row>
    <row r="75" spans="1:6" ht="24" customHeight="1">
      <c r="A75" s="1509" t="str">
        <f>'収益'!F17</f>
        <v>(賃料変動率)</v>
      </c>
      <c r="B75" s="1510">
        <f>G17</f>
        <v>0.005</v>
      </c>
      <c r="C75" s="1511" t="s">
        <v>286</v>
      </c>
      <c r="D75" s="1511"/>
      <c r="E75" s="1511"/>
      <c r="F75" s="1512">
        <f>E37</f>
        <v>0.126871</v>
      </c>
    </row>
    <row r="76" spans="1:6" ht="24" customHeight="1">
      <c r="A76" s="1513" t="str">
        <f>'収益'!F20</f>
        <v>残存耐用年数</v>
      </c>
      <c r="B76" s="1514">
        <f>G20</f>
        <v>10</v>
      </c>
      <c r="C76" s="1515" t="s">
        <v>114</v>
      </c>
      <c r="D76" s="1516"/>
      <c r="E76" s="1516"/>
      <c r="F76" s="1517"/>
    </row>
    <row r="77" spans="1:6" ht="24" customHeight="1">
      <c r="A77" s="1518"/>
      <c r="B77" s="1519"/>
      <c r="C77" s="1520" t="s">
        <v>287</v>
      </c>
      <c r="D77" s="1521"/>
      <c r="E77" s="1521"/>
      <c r="F77" s="1522"/>
    </row>
    <row r="78" spans="1:6" ht="24" customHeight="1">
      <c r="A78" s="1523" t="s">
        <v>754</v>
      </c>
      <c r="B78" s="1511" t="s">
        <v>958</v>
      </c>
      <c r="C78" s="1511"/>
      <c r="D78" s="1511"/>
      <c r="E78" s="1511"/>
      <c r="F78" s="1524">
        <f>C35</f>
        <v>3046144</v>
      </c>
    </row>
    <row r="79" spans="1:6" ht="24" customHeight="1">
      <c r="A79" s="1525"/>
      <c r="B79" s="1511" t="s">
        <v>89</v>
      </c>
      <c r="C79" s="1511"/>
      <c r="D79" s="1511"/>
      <c r="E79" s="1511"/>
      <c r="F79" s="1524">
        <f>G35</f>
        <v>3085644</v>
      </c>
    </row>
    <row r="80" spans="1:6" ht="24" customHeight="1">
      <c r="A80" s="1523" t="s">
        <v>757</v>
      </c>
      <c r="B80" s="1511" t="s">
        <v>758</v>
      </c>
      <c r="C80" s="1511"/>
      <c r="D80" s="1511"/>
      <c r="E80" s="1511"/>
      <c r="F80" s="1526">
        <f>C36</f>
        <v>0.05205</v>
      </c>
    </row>
    <row r="81" spans="1:6" ht="24" customHeight="1">
      <c r="A81" s="1525"/>
      <c r="B81" s="1527" t="s">
        <v>609</v>
      </c>
      <c r="C81" s="1528"/>
      <c r="D81" s="1528"/>
      <c r="E81" s="1528"/>
      <c r="F81" s="1529"/>
    </row>
    <row r="82" spans="1:6" ht="24" customHeight="1">
      <c r="A82" s="1523" t="s">
        <v>288</v>
      </c>
      <c r="B82" s="1530" t="s">
        <v>661</v>
      </c>
      <c r="C82" s="1437"/>
      <c r="D82" s="1531">
        <f>C39</f>
        <v>58520000</v>
      </c>
      <c r="E82" s="1532"/>
      <c r="F82" s="1533">
        <f>D82/G24</f>
        <v>2.2518085270124675</v>
      </c>
    </row>
    <row r="83" spans="1:6" ht="24" customHeight="1">
      <c r="A83" s="1534"/>
      <c r="B83" s="1530" t="s">
        <v>662</v>
      </c>
      <c r="C83" s="1437"/>
      <c r="D83" s="1535">
        <f>G39</f>
        <v>59280000</v>
      </c>
      <c r="E83" s="1536"/>
      <c r="F83" s="1533">
        <f>D83/G24</f>
        <v>2.281052793597045</v>
      </c>
    </row>
    <row r="84" spans="1:6" ht="24" customHeight="1">
      <c r="A84" s="1537"/>
      <c r="B84" s="1538" t="s">
        <v>613</v>
      </c>
      <c r="C84" s="1539"/>
      <c r="D84" s="1539"/>
      <c r="E84" s="1540"/>
      <c r="F84" s="1541" t="s">
        <v>663</v>
      </c>
    </row>
    <row r="85" spans="1:5" ht="21.75" customHeight="1">
      <c r="A85" s="1458" t="s">
        <v>544</v>
      </c>
      <c r="B85" s="1458"/>
      <c r="C85" s="1458"/>
      <c r="D85" s="553"/>
      <c r="E85" s="553"/>
    </row>
    <row r="86" ht="19.5" customHeight="1"/>
    <row r="87" ht="19.5" customHeight="1"/>
    <row r="89" ht="14.25">
      <c r="F89" s="1503"/>
    </row>
    <row r="90" ht="14.25">
      <c r="F90" s="1503"/>
    </row>
  </sheetData>
  <mergeCells count="37">
    <mergeCell ref="G24:H24"/>
    <mergeCell ref="G25:H25"/>
    <mergeCell ref="G26:H26"/>
    <mergeCell ref="G27:H27"/>
    <mergeCell ref="A76:A77"/>
    <mergeCell ref="D72:E72"/>
    <mergeCell ref="D35:E35"/>
    <mergeCell ref="C77:F77"/>
    <mergeCell ref="C76:F76"/>
    <mergeCell ref="B76:B77"/>
    <mergeCell ref="B63:B64"/>
    <mergeCell ref="C63:C64"/>
    <mergeCell ref="D56:F56"/>
    <mergeCell ref="B56:C56"/>
    <mergeCell ref="D82:E82"/>
    <mergeCell ref="D83:E83"/>
    <mergeCell ref="A78:A79"/>
    <mergeCell ref="A80:A81"/>
    <mergeCell ref="A82:A84"/>
    <mergeCell ref="B78:E78"/>
    <mergeCell ref="B80:E80"/>
    <mergeCell ref="B84:E84"/>
    <mergeCell ref="C74:E74"/>
    <mergeCell ref="C75:E75"/>
    <mergeCell ref="B79:E79"/>
    <mergeCell ref="D68:E68"/>
    <mergeCell ref="D69:E69"/>
    <mergeCell ref="D70:E70"/>
    <mergeCell ref="D71:E71"/>
    <mergeCell ref="B47:D47"/>
    <mergeCell ref="A39:B39"/>
    <mergeCell ref="C39:D39"/>
    <mergeCell ref="D63:E63"/>
    <mergeCell ref="D64:E64"/>
    <mergeCell ref="D65:E65"/>
    <mergeCell ref="D66:E66"/>
    <mergeCell ref="D67:E67"/>
  </mergeCells>
  <printOptions/>
  <pageMargins left="1.34" right="0.3937007874015748" top="0.8267716535433072" bottom="0.49" header="0.4330708661417323" footer="0.21"/>
  <pageSetup orientation="portrait" paperSize="9" scale="85" r:id="rId1"/>
  <headerFooter alignWithMargins="0">
    <oddFooter>&amp;R&amp;"平成明朝,斜体"&amp;10&amp;P</oddFooter>
  </headerFooter>
</worksheet>
</file>

<file path=xl/worksheets/sheet2.xml><?xml version="1.0" encoding="utf-8"?>
<worksheet xmlns="http://schemas.openxmlformats.org/spreadsheetml/2006/main" xmlns:r="http://schemas.openxmlformats.org/officeDocument/2006/relationships">
  <dimension ref="A1:W89"/>
  <sheetViews>
    <sheetView showZeros="0" workbookViewId="0" topLeftCell="A1">
      <selection activeCell="J3" sqref="J3"/>
    </sheetView>
  </sheetViews>
  <sheetFormatPr defaultColWidth="8.796875" defaultRowHeight="15"/>
  <cols>
    <col min="1" max="5" width="10.59765625" style="5" customWidth="1"/>
    <col min="6" max="6" width="10.59765625" style="162" customWidth="1"/>
    <col min="7" max="30" width="10.59765625" style="5" customWidth="1"/>
    <col min="31" max="16384" width="11" style="5" customWidth="1"/>
  </cols>
  <sheetData>
    <row r="1" spans="1:22" ht="19.5" customHeight="1">
      <c r="A1" s="1" t="s">
        <v>103</v>
      </c>
      <c r="B1" s="160"/>
      <c r="C1" s="160"/>
      <c r="D1" s="160"/>
      <c r="E1" s="4"/>
      <c r="F1" s="4"/>
      <c r="G1" s="4"/>
      <c r="H1" s="4"/>
      <c r="I1" s="4"/>
      <c r="J1" s="4"/>
      <c r="K1" s="4"/>
      <c r="L1" s="4"/>
      <c r="M1" s="4" t="s">
        <v>456</v>
      </c>
      <c r="N1" s="4"/>
      <c r="O1" s="4"/>
      <c r="P1" s="4"/>
      <c r="Q1" s="4"/>
      <c r="R1" s="4"/>
      <c r="S1" s="4"/>
      <c r="T1" s="4"/>
      <c r="U1" s="4"/>
      <c r="V1" s="4"/>
    </row>
    <row r="2" spans="1:22" ht="19.5" customHeight="1">
      <c r="A2" s="116" t="s">
        <v>458</v>
      </c>
      <c r="B2" s="160"/>
      <c r="C2" s="160"/>
      <c r="D2" s="160"/>
      <c r="E2" s="160"/>
      <c r="F2" s="66"/>
      <c r="G2" s="66"/>
      <c r="H2" s="4"/>
      <c r="I2" s="4"/>
      <c r="J2" s="4"/>
      <c r="K2" s="4"/>
      <c r="L2" s="4"/>
      <c r="M2" s="130">
        <v>1</v>
      </c>
      <c r="N2" s="130" t="s">
        <v>459</v>
      </c>
      <c r="O2" s="38" t="s">
        <v>460</v>
      </c>
      <c r="P2" s="38" t="s">
        <v>461</v>
      </c>
      <c r="Q2" s="38"/>
      <c r="R2" s="4"/>
      <c r="S2" s="4"/>
      <c r="T2" s="4"/>
      <c r="U2" s="4"/>
      <c r="V2" s="4"/>
    </row>
    <row r="3" spans="1:22" s="162" customFormat="1" ht="19.5" customHeight="1">
      <c r="A3" s="161" t="s">
        <v>462</v>
      </c>
      <c r="B3" s="160"/>
      <c r="C3" s="160"/>
      <c r="D3" s="4"/>
      <c r="E3" s="4"/>
      <c r="F3" s="4"/>
      <c r="G3" s="4"/>
      <c r="H3" s="4"/>
      <c r="I3" s="4"/>
      <c r="J3" s="4"/>
      <c r="K3" s="4"/>
      <c r="L3" s="4"/>
      <c r="M3" s="130">
        <v>2</v>
      </c>
      <c r="N3" s="130" t="s">
        <v>463</v>
      </c>
      <c r="O3" s="38" t="s">
        <v>354</v>
      </c>
      <c r="P3" s="38" t="s">
        <v>355</v>
      </c>
      <c r="Q3" s="38"/>
      <c r="R3" s="4"/>
      <c r="S3" s="4"/>
      <c r="T3" s="4"/>
      <c r="U3" s="4"/>
      <c r="V3" s="4"/>
    </row>
    <row r="4" spans="1:22" s="165" customFormat="1" ht="19.5" customHeight="1">
      <c r="A4" s="163" t="s">
        <v>265</v>
      </c>
      <c r="B4" s="907" t="s">
        <v>266</v>
      </c>
      <c r="C4" s="907"/>
      <c r="D4" s="907"/>
      <c r="E4" s="907"/>
      <c r="F4" s="907"/>
      <c r="G4" s="907"/>
      <c r="H4" s="907"/>
      <c r="I4" s="907"/>
      <c r="J4" s="1"/>
      <c r="K4" s="1"/>
      <c r="L4" s="1"/>
      <c r="M4" s="130">
        <v>3</v>
      </c>
      <c r="N4" s="130" t="s">
        <v>360</v>
      </c>
      <c r="O4" s="38" t="s">
        <v>361</v>
      </c>
      <c r="P4" s="38" t="s">
        <v>362</v>
      </c>
      <c r="Q4" s="38"/>
      <c r="R4" s="1"/>
      <c r="S4" s="1"/>
      <c r="T4" s="1"/>
      <c r="U4" s="1"/>
      <c r="V4" s="1"/>
    </row>
    <row r="5" spans="1:22" s="165" customFormat="1" ht="19.5" customHeight="1">
      <c r="A5" s="163" t="s">
        <v>473</v>
      </c>
      <c r="B5" s="166" t="s">
        <v>474</v>
      </c>
      <c r="C5" s="166" t="s">
        <v>475</v>
      </c>
      <c r="D5" s="166" t="s">
        <v>273</v>
      </c>
      <c r="E5" s="166" t="s">
        <v>363</v>
      </c>
      <c r="F5" s="166" t="s">
        <v>364</v>
      </c>
      <c r="G5" s="166" t="s">
        <v>365</v>
      </c>
      <c r="H5" s="166" t="s">
        <v>366</v>
      </c>
      <c r="I5" s="150" t="s">
        <v>283</v>
      </c>
      <c r="J5" s="922" t="s">
        <v>183</v>
      </c>
      <c r="K5" s="1"/>
      <c r="L5" s="1"/>
      <c r="M5" s="130">
        <v>4</v>
      </c>
      <c r="N5" s="130" t="s">
        <v>184</v>
      </c>
      <c r="O5" s="38" t="s">
        <v>185</v>
      </c>
      <c r="P5" s="38" t="s">
        <v>186</v>
      </c>
      <c r="Q5" s="38"/>
      <c r="R5" s="1"/>
      <c r="S5" s="1"/>
      <c r="T5" s="1"/>
      <c r="U5" s="1"/>
      <c r="V5" s="1"/>
    </row>
    <row r="6" spans="1:22" s="165" customFormat="1" ht="19.5" customHeight="1">
      <c r="A6" s="163" t="s">
        <v>217</v>
      </c>
      <c r="B6" s="167" t="s">
        <v>104</v>
      </c>
      <c r="C6" s="167" t="s">
        <v>86</v>
      </c>
      <c r="D6" s="167" t="s">
        <v>218</v>
      </c>
      <c r="E6" s="167" t="s">
        <v>250</v>
      </c>
      <c r="F6" s="168">
        <v>1600</v>
      </c>
      <c r="G6" s="169">
        <f>ROUNDUP(F6/0.7,-2)</f>
        <v>2300</v>
      </c>
      <c r="H6" s="170">
        <f>ROUND(G6/I6,0)</f>
        <v>29</v>
      </c>
      <c r="I6" s="166">
        <v>80</v>
      </c>
      <c r="J6" s="923"/>
      <c r="K6" s="1"/>
      <c r="L6" s="1"/>
      <c r="M6" s="130">
        <v>5</v>
      </c>
      <c r="N6" s="130" t="s">
        <v>251</v>
      </c>
      <c r="O6" s="38" t="s">
        <v>208</v>
      </c>
      <c r="P6" s="38" t="s">
        <v>138</v>
      </c>
      <c r="Q6" s="38"/>
      <c r="R6" s="1"/>
      <c r="S6" s="1"/>
      <c r="T6" s="1"/>
      <c r="U6" s="1"/>
      <c r="V6" s="1"/>
    </row>
    <row r="7" spans="1:22" s="165" customFormat="1" ht="19.5" customHeight="1">
      <c r="A7" s="163" t="s">
        <v>187</v>
      </c>
      <c r="B7" s="167" t="s">
        <v>188</v>
      </c>
      <c r="C7" s="170" t="s">
        <v>55</v>
      </c>
      <c r="D7" s="167" t="s">
        <v>298</v>
      </c>
      <c r="E7" s="167" t="s">
        <v>299</v>
      </c>
      <c r="F7" s="168">
        <v>200</v>
      </c>
      <c r="G7" s="169">
        <f>ROUNDUP(F7/0.7,-2)</f>
        <v>300</v>
      </c>
      <c r="H7" s="170">
        <f>ROUND(G7/I7,0)</f>
        <v>4</v>
      </c>
      <c r="I7" s="166">
        <v>80</v>
      </c>
      <c r="J7" s="924"/>
      <c r="K7" s="1"/>
      <c r="L7" s="1"/>
      <c r="M7" s="130">
        <v>6</v>
      </c>
      <c r="N7" s="130" t="s">
        <v>300</v>
      </c>
      <c r="O7" s="38" t="s">
        <v>391</v>
      </c>
      <c r="P7" s="38" t="s">
        <v>309</v>
      </c>
      <c r="Q7" s="38"/>
      <c r="R7" s="1"/>
      <c r="S7" s="1"/>
      <c r="T7" s="1"/>
      <c r="U7" s="1"/>
      <c r="V7" s="1"/>
    </row>
    <row r="8" spans="1:22" s="165" customFormat="1" ht="19.5" customHeight="1">
      <c r="A8" s="163" t="s">
        <v>212</v>
      </c>
      <c r="B8" s="916"/>
      <c r="C8" s="917"/>
      <c r="D8" s="918"/>
      <c r="E8" s="918"/>
      <c r="F8" s="918"/>
      <c r="G8" s="919"/>
      <c r="H8" s="171" t="s">
        <v>203</v>
      </c>
      <c r="I8" s="172"/>
      <c r="J8" s="1"/>
      <c r="K8" s="1"/>
      <c r="L8" s="1"/>
      <c r="M8" s="130">
        <v>7</v>
      </c>
      <c r="N8" s="130" t="s">
        <v>204</v>
      </c>
      <c r="O8" s="38" t="s">
        <v>205</v>
      </c>
      <c r="P8" s="38" t="s">
        <v>204</v>
      </c>
      <c r="Q8" s="38"/>
      <c r="R8" s="1"/>
      <c r="S8" s="1"/>
      <c r="T8" s="1"/>
      <c r="U8" s="1"/>
      <c r="V8" s="1"/>
    </row>
    <row r="9" spans="1:22" s="165" customFormat="1" ht="19.5" customHeight="1">
      <c r="A9" s="163" t="s">
        <v>206</v>
      </c>
      <c r="B9" s="914">
        <v>1</v>
      </c>
      <c r="C9" s="915"/>
      <c r="D9" s="41" t="s">
        <v>207</v>
      </c>
      <c r="E9" s="173"/>
      <c r="F9" s="173"/>
      <c r="G9" s="173"/>
      <c r="H9" s="42"/>
      <c r="I9" s="42"/>
      <c r="J9" s="42"/>
      <c r="K9" s="174"/>
      <c r="L9" s="1"/>
      <c r="M9" s="130">
        <v>8</v>
      </c>
      <c r="N9" s="130" t="s">
        <v>533</v>
      </c>
      <c r="O9" s="38" t="s">
        <v>534</v>
      </c>
      <c r="P9" s="38" t="s">
        <v>533</v>
      </c>
      <c r="Q9" s="38"/>
      <c r="R9" s="1"/>
      <c r="S9" s="1"/>
      <c r="T9" s="1"/>
      <c r="U9" s="1"/>
      <c r="V9" s="1"/>
    </row>
    <row r="10" spans="1:22" s="165" customFormat="1" ht="19.5" customHeight="1">
      <c r="A10" s="163" t="s">
        <v>728</v>
      </c>
      <c r="B10" s="912">
        <v>1</v>
      </c>
      <c r="C10" s="913"/>
      <c r="D10" s="175">
        <v>1</v>
      </c>
      <c r="E10" s="175" t="s">
        <v>531</v>
      </c>
      <c r="F10" s="176">
        <v>2</v>
      </c>
      <c r="G10" s="176" t="s">
        <v>432</v>
      </c>
      <c r="H10" s="175">
        <v>3</v>
      </c>
      <c r="I10" s="175" t="s">
        <v>433</v>
      </c>
      <c r="J10" s="176">
        <v>4</v>
      </c>
      <c r="K10" s="176" t="s">
        <v>434</v>
      </c>
      <c r="L10" s="1"/>
      <c r="M10" s="130">
        <v>9</v>
      </c>
      <c r="N10" s="130" t="s">
        <v>435</v>
      </c>
      <c r="O10" s="38" t="s">
        <v>334</v>
      </c>
      <c r="P10" s="38" t="s">
        <v>435</v>
      </c>
      <c r="Q10" s="38"/>
      <c r="R10" s="1"/>
      <c r="S10" s="1"/>
      <c r="T10" s="1"/>
      <c r="U10" s="1"/>
      <c r="V10" s="1"/>
    </row>
    <row r="11" spans="1:22" s="165" customFormat="1" ht="19.5" customHeight="1">
      <c r="A11" s="163" t="s">
        <v>335</v>
      </c>
      <c r="B11" s="910">
        <v>60</v>
      </c>
      <c r="C11" s="911"/>
      <c r="D11" s="41" t="s">
        <v>336</v>
      </c>
      <c r="E11" s="42"/>
      <c r="F11" s="42"/>
      <c r="G11" s="42"/>
      <c r="H11" s="42"/>
      <c r="I11" s="42"/>
      <c r="J11" s="42"/>
      <c r="K11" s="174"/>
      <c r="L11" s="1"/>
      <c r="M11" s="130">
        <v>10</v>
      </c>
      <c r="N11" s="130" t="s">
        <v>337</v>
      </c>
      <c r="O11" s="38" t="s">
        <v>338</v>
      </c>
      <c r="P11" s="38" t="s">
        <v>337</v>
      </c>
      <c r="Q11" s="38"/>
      <c r="R11" s="1"/>
      <c r="S11" s="1"/>
      <c r="T11" s="1"/>
      <c r="U11" s="1"/>
      <c r="V11" s="1"/>
    </row>
    <row r="12" spans="1:22" s="165" customFormat="1" ht="19.5" customHeight="1">
      <c r="A12" s="163" t="s">
        <v>339</v>
      </c>
      <c r="B12" s="910">
        <v>200</v>
      </c>
      <c r="C12" s="911"/>
      <c r="D12" s="175">
        <v>1</v>
      </c>
      <c r="E12" s="175" t="s">
        <v>459</v>
      </c>
      <c r="F12" s="176">
        <v>5</v>
      </c>
      <c r="G12" s="176" t="s">
        <v>251</v>
      </c>
      <c r="H12" s="175">
        <v>9</v>
      </c>
      <c r="I12" s="175" t="s">
        <v>435</v>
      </c>
      <c r="J12" s="176">
        <v>13</v>
      </c>
      <c r="K12" s="176" t="s">
        <v>393</v>
      </c>
      <c r="L12" s="1"/>
      <c r="M12" s="130">
        <v>11</v>
      </c>
      <c r="N12" s="130" t="s">
        <v>244</v>
      </c>
      <c r="O12" s="38" t="s">
        <v>245</v>
      </c>
      <c r="P12" s="38" t="s">
        <v>244</v>
      </c>
      <c r="Q12" s="38"/>
      <c r="R12" s="1"/>
      <c r="S12" s="1"/>
      <c r="T12" s="1"/>
      <c r="U12" s="1"/>
      <c r="V12" s="1"/>
    </row>
    <row r="13" spans="1:22" s="165" customFormat="1" ht="19.5" customHeight="1">
      <c r="A13" s="163" t="s">
        <v>246</v>
      </c>
      <c r="B13" s="908" t="s">
        <v>247</v>
      </c>
      <c r="C13" s="909"/>
      <c r="D13" s="175">
        <v>2</v>
      </c>
      <c r="E13" s="175" t="s">
        <v>463</v>
      </c>
      <c r="F13" s="176">
        <v>6</v>
      </c>
      <c r="G13" s="176" t="s">
        <v>300</v>
      </c>
      <c r="H13" s="175">
        <v>10</v>
      </c>
      <c r="I13" s="175" t="s">
        <v>337</v>
      </c>
      <c r="J13" s="176">
        <v>14</v>
      </c>
      <c r="K13" s="176" t="s">
        <v>248</v>
      </c>
      <c r="L13" s="1"/>
      <c r="M13" s="130">
        <v>12</v>
      </c>
      <c r="N13" s="130" t="s">
        <v>249</v>
      </c>
      <c r="O13" s="38" t="s">
        <v>345</v>
      </c>
      <c r="P13" s="38" t="s">
        <v>346</v>
      </c>
      <c r="Q13" s="48"/>
      <c r="R13" s="1"/>
      <c r="S13" s="1"/>
      <c r="T13" s="1"/>
      <c r="U13" s="1"/>
      <c r="V13" s="1"/>
    </row>
    <row r="14" spans="1:22" s="165" customFormat="1" ht="19.5" customHeight="1">
      <c r="A14" s="163" t="s">
        <v>347</v>
      </c>
      <c r="B14" s="910" t="s">
        <v>348</v>
      </c>
      <c r="C14" s="911"/>
      <c r="D14" s="175">
        <v>3</v>
      </c>
      <c r="E14" s="175" t="s">
        <v>360</v>
      </c>
      <c r="F14" s="176">
        <v>7</v>
      </c>
      <c r="G14" s="176" t="s">
        <v>204</v>
      </c>
      <c r="H14" s="175">
        <v>11</v>
      </c>
      <c r="I14" s="175" t="s">
        <v>244</v>
      </c>
      <c r="J14" s="176">
        <v>15</v>
      </c>
      <c r="K14" s="176" t="s">
        <v>807</v>
      </c>
      <c r="L14" s="1"/>
      <c r="M14" s="130">
        <v>13</v>
      </c>
      <c r="N14" s="130" t="s">
        <v>393</v>
      </c>
      <c r="O14" s="38" t="s">
        <v>353</v>
      </c>
      <c r="P14" s="38" t="s">
        <v>393</v>
      </c>
      <c r="Q14" s="48"/>
      <c r="R14" s="1"/>
      <c r="S14" s="1"/>
      <c r="T14" s="1"/>
      <c r="U14" s="1"/>
      <c r="V14" s="1"/>
    </row>
    <row r="15" spans="1:22" ht="19.5" customHeight="1">
      <c r="A15" s="130" t="s">
        <v>532</v>
      </c>
      <c r="B15" s="40" t="str">
        <f>VLOOKUP(B9,都計区分のコード表,2)</f>
        <v>市街化</v>
      </c>
      <c r="C15" s="40" t="str">
        <f>VLOOKUP(B10,用途地域のコード表,2)</f>
        <v>一低専</v>
      </c>
      <c r="D15" s="175">
        <v>4</v>
      </c>
      <c r="E15" s="175" t="s">
        <v>184</v>
      </c>
      <c r="F15" s="176">
        <v>8</v>
      </c>
      <c r="G15" s="176" t="s">
        <v>533</v>
      </c>
      <c r="H15" s="175">
        <v>12</v>
      </c>
      <c r="I15" s="175" t="s">
        <v>249</v>
      </c>
      <c r="J15" s="176">
        <v>16</v>
      </c>
      <c r="K15" s="176"/>
      <c r="L15" s="4"/>
      <c r="M15" s="130">
        <v>14</v>
      </c>
      <c r="N15" s="130" t="s">
        <v>434</v>
      </c>
      <c r="O15" s="130" t="s">
        <v>434</v>
      </c>
      <c r="P15" s="48"/>
      <c r="Q15" s="48"/>
      <c r="R15" s="4"/>
      <c r="S15" s="4"/>
      <c r="T15" s="4"/>
      <c r="U15" s="4"/>
      <c r="V15" s="4"/>
    </row>
    <row r="16" spans="1:22" ht="19.5" customHeight="1">
      <c r="A16" s="161"/>
      <c r="B16" s="177"/>
      <c r="C16" s="160" t="s">
        <v>7</v>
      </c>
      <c r="D16" s="160"/>
      <c r="E16" s="160"/>
      <c r="F16" s="66"/>
      <c r="G16" s="66"/>
      <c r="H16" s="4"/>
      <c r="I16" s="4"/>
      <c r="J16" s="4"/>
      <c r="K16" s="4"/>
      <c r="L16" s="4"/>
      <c r="M16" s="130">
        <v>15</v>
      </c>
      <c r="N16" s="130" t="s">
        <v>7</v>
      </c>
      <c r="O16" s="130" t="s">
        <v>7</v>
      </c>
      <c r="P16" s="48"/>
      <c r="Q16" s="48"/>
      <c r="R16" s="4"/>
      <c r="S16" s="4"/>
      <c r="T16" s="4"/>
      <c r="U16" s="4"/>
      <c r="V16" s="4"/>
    </row>
    <row r="17" spans="1:23" ht="19.5" customHeight="1">
      <c r="A17" s="130" t="s">
        <v>243</v>
      </c>
      <c r="B17" s="178">
        <f>IF('基礎'!A108=2,再評価時点,評価時点)</f>
        <v>37380</v>
      </c>
      <c r="C17" s="179" t="s">
        <v>233</v>
      </c>
      <c r="D17" s="180"/>
      <c r="E17" s="180"/>
      <c r="F17" s="181"/>
      <c r="G17" s="179"/>
      <c r="H17" s="180"/>
      <c r="I17" s="180"/>
      <c r="J17" s="180"/>
      <c r="K17" s="182"/>
      <c r="L17" s="4"/>
      <c r="M17" s="130">
        <v>16</v>
      </c>
      <c r="N17" s="130"/>
      <c r="O17" s="130"/>
      <c r="P17" s="48"/>
      <c r="Q17" s="48"/>
      <c r="R17" s="4"/>
      <c r="S17" s="4"/>
      <c r="T17" s="4"/>
      <c r="U17" s="4"/>
      <c r="V17" s="4"/>
      <c r="W17" s="162"/>
    </row>
    <row r="18" spans="1:23" ht="19.5" customHeight="1">
      <c r="A18" s="788" t="str">
        <f>IF('基礎'!A108=1,"新規評価である",IF('基礎'!A108=2,"再評価である","補充評価である"))</f>
        <v>新規評価である</v>
      </c>
      <c r="B18" s="786"/>
      <c r="C18" s="183" t="s">
        <v>167</v>
      </c>
      <c r="D18" s="184"/>
      <c r="E18" s="184"/>
      <c r="F18" s="185"/>
      <c r="G18" s="183" t="s">
        <v>168</v>
      </c>
      <c r="H18" s="184"/>
      <c r="I18" s="184"/>
      <c r="J18" s="184"/>
      <c r="K18" s="186"/>
      <c r="L18" s="4"/>
      <c r="M18" s="130">
        <v>17</v>
      </c>
      <c r="N18" s="130"/>
      <c r="O18" s="130"/>
      <c r="P18" s="48"/>
      <c r="Q18" s="48"/>
      <c r="R18" s="4"/>
      <c r="S18" s="4"/>
      <c r="T18" s="4"/>
      <c r="U18" s="4"/>
      <c r="V18" s="4"/>
      <c r="W18" s="162"/>
    </row>
    <row r="19" spans="1:23" ht="19.5" customHeight="1">
      <c r="A19" s="925" t="str">
        <f>IF(OR('基礎'!E3&lt;1,'基礎'!E3&gt;4)," ","評価物件の種類")</f>
        <v>評価物件の種類</v>
      </c>
      <c r="B19" s="926"/>
      <c r="C19" s="183" t="s">
        <v>349</v>
      </c>
      <c r="D19" s="184"/>
      <c r="E19" s="184"/>
      <c r="F19" s="185"/>
      <c r="G19" s="183" t="s">
        <v>350</v>
      </c>
      <c r="H19" s="184"/>
      <c r="I19" s="184"/>
      <c r="J19" s="184"/>
      <c r="K19" s="186"/>
      <c r="L19" s="4"/>
      <c r="M19" s="130">
        <v>18</v>
      </c>
      <c r="N19" s="130"/>
      <c r="O19" s="130"/>
      <c r="P19" s="48"/>
      <c r="Q19" s="48"/>
      <c r="R19" s="4"/>
      <c r="S19" s="4"/>
      <c r="T19" s="4"/>
      <c r="U19" s="4"/>
      <c r="V19" s="4"/>
      <c r="W19" s="162"/>
    </row>
    <row r="20" spans="1:23" ht="19.5" customHeight="1">
      <c r="A20" s="920" t="str">
        <f>IF(OR('基礎'!E3&lt;1,'基礎'!E3&gt;4),"入力錯誤 ",VLOOKUP('基礎'!E3,物件の種類コード表,2))</f>
        <v>戸建</v>
      </c>
      <c r="B20" s="921"/>
      <c r="C20" s="187" t="s">
        <v>289</v>
      </c>
      <c r="D20" s="188"/>
      <c r="E20" s="188"/>
      <c r="F20" s="189"/>
      <c r="G20" s="187" t="s">
        <v>297</v>
      </c>
      <c r="H20" s="188"/>
      <c r="I20" s="188"/>
      <c r="J20" s="188"/>
      <c r="K20" s="190"/>
      <c r="L20" s="4"/>
      <c r="M20" s="130">
        <v>19</v>
      </c>
      <c r="N20" s="130"/>
      <c r="O20" s="130"/>
      <c r="P20" s="48"/>
      <c r="Q20" s="48"/>
      <c r="R20" s="4"/>
      <c r="S20" s="4"/>
      <c r="T20" s="4"/>
      <c r="U20" s="4"/>
      <c r="V20" s="4"/>
      <c r="W20" s="162"/>
    </row>
    <row r="21" spans="1:22" ht="19.5" customHeight="1">
      <c r="A21" s="191"/>
      <c r="B21" s="192"/>
      <c r="C21" s="184"/>
      <c r="D21" s="184"/>
      <c r="E21" s="184"/>
      <c r="F21" s="184"/>
      <c r="G21" s="184"/>
      <c r="H21" s="184"/>
      <c r="I21" s="184"/>
      <c r="J21" s="4"/>
      <c r="K21" s="4"/>
      <c r="L21" s="4"/>
      <c r="M21" s="4"/>
      <c r="N21" s="4"/>
      <c r="O21" s="4"/>
      <c r="P21" s="4"/>
      <c r="Q21" s="4"/>
      <c r="R21" s="4"/>
      <c r="S21" s="4"/>
      <c r="T21" s="4"/>
      <c r="U21" s="4"/>
      <c r="V21" s="4"/>
    </row>
    <row r="22" spans="1:22" ht="19.5" customHeight="1">
      <c r="A22" s="161" t="s">
        <v>105</v>
      </c>
      <c r="B22" s="177"/>
      <c r="C22" s="66"/>
      <c r="D22" s="66"/>
      <c r="E22" s="4"/>
      <c r="F22" s="4"/>
      <c r="G22" s="4"/>
      <c r="H22" s="4"/>
      <c r="I22" s="4"/>
      <c r="J22" s="4"/>
      <c r="K22" s="4"/>
      <c r="L22" s="4"/>
      <c r="M22" s="4" t="s">
        <v>153</v>
      </c>
      <c r="N22" s="4"/>
      <c r="O22" s="4"/>
      <c r="P22" s="4"/>
      <c r="Q22" s="4"/>
      <c r="R22" s="4"/>
      <c r="S22" s="4"/>
      <c r="T22" s="4"/>
      <c r="U22" s="4"/>
      <c r="V22" s="4"/>
    </row>
    <row r="23" spans="1:23" ht="19.5" customHeight="1">
      <c r="A23" s="163" t="s">
        <v>878</v>
      </c>
      <c r="B23" s="145">
        <f>'基礎'!G29</f>
        <v>1</v>
      </c>
      <c r="C23" s="170" t="str">
        <f>'基礎'!B31</f>
        <v>1</v>
      </c>
      <c r="D23" s="170">
        <f>'基礎'!C31</f>
        <v>0</v>
      </c>
      <c r="E23" s="170">
        <f>'基礎'!D31</f>
        <v>0</v>
      </c>
      <c r="F23" s="170">
        <f>'基礎'!E31</f>
        <v>0</v>
      </c>
      <c r="G23" s="170">
        <f>'基礎'!F31</f>
        <v>0</v>
      </c>
      <c r="H23" s="170">
        <f>'基礎'!G31</f>
        <v>0</v>
      </c>
      <c r="I23" s="170">
        <f>'基礎'!H31</f>
        <v>0</v>
      </c>
      <c r="J23" s="170">
        <f>'基礎'!I31</f>
        <v>0</v>
      </c>
      <c r="K23" s="170">
        <f>'基礎'!J31</f>
        <v>0</v>
      </c>
      <c r="L23" s="170">
        <f>'基礎'!K31</f>
        <v>0</v>
      </c>
      <c r="M23" s="4" t="s">
        <v>966</v>
      </c>
      <c r="N23" s="130">
        <v>1</v>
      </c>
      <c r="O23" s="130" t="s">
        <v>531</v>
      </c>
      <c r="P23" s="38" t="s">
        <v>154</v>
      </c>
      <c r="Q23" s="130" t="s">
        <v>531</v>
      </c>
      <c r="R23" s="38"/>
      <c r="S23" s="4"/>
      <c r="T23" s="4"/>
      <c r="U23" s="4"/>
      <c r="V23" s="4"/>
      <c r="W23" s="4"/>
    </row>
    <row r="24" spans="1:23" ht="19.5" customHeight="1">
      <c r="A24" s="163" t="s">
        <v>155</v>
      </c>
      <c r="B24" s="167" t="s">
        <v>840</v>
      </c>
      <c r="C24" s="170" t="str">
        <f>'基礎'!B34</f>
        <v>宅　地</v>
      </c>
      <c r="D24" s="170">
        <f>'基礎'!C34</f>
        <v>0</v>
      </c>
      <c r="E24" s="170">
        <f>'基礎'!D34</f>
        <v>0</v>
      </c>
      <c r="F24" s="170">
        <f>'基礎'!E34</f>
        <v>0</v>
      </c>
      <c r="G24" s="170">
        <f>'基礎'!F34</f>
        <v>0</v>
      </c>
      <c r="H24" s="170">
        <f>'基礎'!G34</f>
        <v>0</v>
      </c>
      <c r="I24" s="170">
        <f>'基礎'!H34</f>
        <v>0</v>
      </c>
      <c r="J24" s="170">
        <f>'基礎'!I34</f>
        <v>0</v>
      </c>
      <c r="K24" s="170">
        <f>'基礎'!J34</f>
        <v>0</v>
      </c>
      <c r="L24" s="170">
        <f>'基礎'!K34</f>
        <v>0</v>
      </c>
      <c r="M24" s="4"/>
      <c r="N24" s="130"/>
      <c r="O24" s="130"/>
      <c r="P24" s="38"/>
      <c r="Q24" s="130"/>
      <c r="R24" s="38"/>
      <c r="S24" s="4"/>
      <c r="T24" s="4"/>
      <c r="U24" s="4"/>
      <c r="V24" s="4"/>
      <c r="W24" s="4"/>
    </row>
    <row r="25" spans="1:23" ht="19.5" customHeight="1">
      <c r="A25" s="163" t="s">
        <v>258</v>
      </c>
      <c r="B25" s="167" t="s">
        <v>840</v>
      </c>
      <c r="C25" s="166"/>
      <c r="D25" s="166"/>
      <c r="E25" s="166"/>
      <c r="F25" s="166"/>
      <c r="G25" s="166"/>
      <c r="H25" s="166"/>
      <c r="I25" s="166"/>
      <c r="J25" s="166"/>
      <c r="K25" s="166"/>
      <c r="L25" s="166"/>
      <c r="M25" s="4"/>
      <c r="N25" s="130"/>
      <c r="O25" s="130"/>
      <c r="P25" s="38"/>
      <c r="Q25" s="130"/>
      <c r="R25" s="38"/>
      <c r="S25" s="4"/>
      <c r="T25" s="4"/>
      <c r="U25" s="4"/>
      <c r="V25" s="4"/>
      <c r="W25" s="4"/>
    </row>
    <row r="26" spans="1:23" ht="19.5" customHeight="1">
      <c r="A26" s="163" t="s">
        <v>195</v>
      </c>
      <c r="B26" s="164" t="s">
        <v>650</v>
      </c>
      <c r="C26" s="151"/>
      <c r="D26" s="151"/>
      <c r="E26" s="151"/>
      <c r="F26" s="151"/>
      <c r="G26" s="151"/>
      <c r="H26" s="151"/>
      <c r="I26" s="151"/>
      <c r="J26" s="151"/>
      <c r="K26" s="151"/>
      <c r="L26" s="151"/>
      <c r="M26" s="4" t="s">
        <v>5</v>
      </c>
      <c r="N26" s="130">
        <v>2</v>
      </c>
      <c r="O26" s="130" t="s">
        <v>432</v>
      </c>
      <c r="P26" s="38" t="s">
        <v>196</v>
      </c>
      <c r="Q26" s="130" t="s">
        <v>432</v>
      </c>
      <c r="R26" s="38"/>
      <c r="S26" s="4"/>
      <c r="T26" s="4"/>
      <c r="U26" s="4"/>
      <c r="V26" s="4"/>
      <c r="W26" s="4"/>
    </row>
    <row r="27" spans="1:23" ht="19.5" customHeight="1">
      <c r="A27" s="145" t="s">
        <v>841</v>
      </c>
      <c r="B27" s="164" t="s">
        <v>402</v>
      </c>
      <c r="C27" s="151"/>
      <c r="D27" s="151"/>
      <c r="E27" s="151"/>
      <c r="F27" s="151"/>
      <c r="G27" s="151"/>
      <c r="H27" s="151"/>
      <c r="I27" s="151"/>
      <c r="J27" s="151"/>
      <c r="K27" s="151"/>
      <c r="L27" s="151"/>
      <c r="M27" s="4" t="s">
        <v>891</v>
      </c>
      <c r="N27" s="130">
        <v>3</v>
      </c>
      <c r="O27" s="130" t="s">
        <v>433</v>
      </c>
      <c r="P27" s="38" t="s">
        <v>403</v>
      </c>
      <c r="Q27" s="130" t="s">
        <v>433</v>
      </c>
      <c r="R27" s="38"/>
      <c r="S27" s="4"/>
      <c r="T27" s="4"/>
      <c r="U27" s="4"/>
      <c r="V27" s="4"/>
      <c r="W27" s="4"/>
    </row>
    <row r="28" spans="1:23" ht="19.5" customHeight="1">
      <c r="A28" s="145" t="s">
        <v>1026</v>
      </c>
      <c r="B28" s="164" t="s">
        <v>486</v>
      </c>
      <c r="C28" s="151"/>
      <c r="D28" s="151"/>
      <c r="E28" s="151"/>
      <c r="F28" s="151"/>
      <c r="G28" s="151"/>
      <c r="H28" s="151"/>
      <c r="I28" s="151"/>
      <c r="J28" s="151"/>
      <c r="K28" s="151"/>
      <c r="L28" s="151"/>
      <c r="M28" s="4" t="s">
        <v>894</v>
      </c>
      <c r="N28" s="130">
        <v>4</v>
      </c>
      <c r="O28" s="130" t="s">
        <v>434</v>
      </c>
      <c r="P28" s="38" t="s">
        <v>404</v>
      </c>
      <c r="Q28" s="130" t="s">
        <v>434</v>
      </c>
      <c r="R28" s="38"/>
      <c r="S28" s="4"/>
      <c r="T28" s="4"/>
      <c r="U28" s="4"/>
      <c r="V28" s="4"/>
      <c r="W28" s="4"/>
    </row>
    <row r="29" spans="1:23" ht="19.5" customHeight="1">
      <c r="A29" s="163" t="s">
        <v>601</v>
      </c>
      <c r="B29" s="164" t="s">
        <v>592</v>
      </c>
      <c r="C29" s="150"/>
      <c r="D29" s="150"/>
      <c r="E29" s="150"/>
      <c r="F29" s="150"/>
      <c r="G29" s="150"/>
      <c r="H29" s="150"/>
      <c r="I29" s="150"/>
      <c r="J29" s="150"/>
      <c r="K29" s="150"/>
      <c r="L29" s="150"/>
      <c r="M29" s="4" t="s">
        <v>891</v>
      </c>
      <c r="N29" s="130">
        <v>5</v>
      </c>
      <c r="O29" s="130" t="s">
        <v>891</v>
      </c>
      <c r="P29" s="38" t="s">
        <v>891</v>
      </c>
      <c r="Q29" s="38" t="s">
        <v>891</v>
      </c>
      <c r="R29" s="38"/>
      <c r="S29" s="4"/>
      <c r="T29" s="4"/>
      <c r="U29" s="4"/>
      <c r="V29" s="4"/>
      <c r="W29" s="4"/>
    </row>
    <row r="30" spans="1:23" ht="19.5" customHeight="1">
      <c r="A30" s="163" t="s">
        <v>405</v>
      </c>
      <c r="B30" s="164" t="s">
        <v>45</v>
      </c>
      <c r="C30" s="150"/>
      <c r="D30" s="150"/>
      <c r="E30" s="150"/>
      <c r="F30" s="150"/>
      <c r="G30" s="150"/>
      <c r="H30" s="150"/>
      <c r="I30" s="150"/>
      <c r="J30" s="150"/>
      <c r="K30" s="150"/>
      <c r="L30" s="150"/>
      <c r="M30" s="4" t="s">
        <v>106</v>
      </c>
      <c r="N30" s="130">
        <v>6</v>
      </c>
      <c r="O30" s="130" t="s">
        <v>106</v>
      </c>
      <c r="P30" s="38" t="s">
        <v>106</v>
      </c>
      <c r="Q30" s="38" t="s">
        <v>106</v>
      </c>
      <c r="R30" s="38"/>
      <c r="S30" s="4"/>
      <c r="T30" s="4"/>
      <c r="U30" s="4"/>
      <c r="V30" s="4"/>
      <c r="W30" s="4"/>
    </row>
    <row r="31" spans="1:23" ht="19.5" customHeight="1">
      <c r="A31" s="163" t="s">
        <v>485</v>
      </c>
      <c r="B31" s="164" t="s">
        <v>593</v>
      </c>
      <c r="C31" s="150"/>
      <c r="D31" s="150"/>
      <c r="E31" s="150"/>
      <c r="F31" s="150"/>
      <c r="G31" s="150"/>
      <c r="H31" s="150"/>
      <c r="I31" s="150"/>
      <c r="J31" s="150"/>
      <c r="K31" s="150"/>
      <c r="L31" s="150"/>
      <c r="M31" s="4" t="s">
        <v>55</v>
      </c>
      <c r="N31" s="4"/>
      <c r="O31" s="4"/>
      <c r="P31" s="4"/>
      <c r="Q31" s="4"/>
      <c r="R31" s="4"/>
      <c r="S31" s="4"/>
      <c r="T31" s="4"/>
      <c r="U31" s="4"/>
      <c r="V31" s="4"/>
      <c r="W31" s="4"/>
    </row>
    <row r="32" spans="1:23" ht="19.5" customHeight="1">
      <c r="A32" s="163" t="s">
        <v>200</v>
      </c>
      <c r="B32" s="193" t="s">
        <v>87</v>
      </c>
      <c r="C32" s="150"/>
      <c r="D32" s="150"/>
      <c r="E32" s="150"/>
      <c r="F32" s="150"/>
      <c r="G32" s="150"/>
      <c r="H32" s="150"/>
      <c r="I32" s="150"/>
      <c r="J32" s="150"/>
      <c r="K32" s="150"/>
      <c r="L32" s="150"/>
      <c r="M32" s="4"/>
      <c r="N32" s="4"/>
      <c r="O32" s="4"/>
      <c r="P32" s="4"/>
      <c r="Q32" s="4"/>
      <c r="R32" s="4"/>
      <c r="S32" s="4"/>
      <c r="T32" s="4"/>
      <c r="U32" s="4"/>
      <c r="V32" s="4"/>
      <c r="W32" s="4"/>
    </row>
    <row r="33" spans="1:23" s="165" customFormat="1" ht="19.5" customHeight="1">
      <c r="A33" s="163" t="s">
        <v>242</v>
      </c>
      <c r="B33" s="164" t="s">
        <v>782</v>
      </c>
      <c r="C33" s="151"/>
      <c r="D33" s="151"/>
      <c r="E33" s="151"/>
      <c r="F33" s="151"/>
      <c r="G33" s="151"/>
      <c r="H33" s="151"/>
      <c r="I33" s="151"/>
      <c r="J33" s="151"/>
      <c r="K33" s="151"/>
      <c r="L33" s="151"/>
      <c r="M33" s="1" t="s">
        <v>7</v>
      </c>
      <c r="N33" s="1"/>
      <c r="O33" s="1"/>
      <c r="P33" s="1"/>
      <c r="Q33" s="1"/>
      <c r="R33" s="1"/>
      <c r="S33" s="1"/>
      <c r="T33" s="1"/>
      <c r="U33" s="1"/>
      <c r="V33" s="1"/>
      <c r="W33" s="1"/>
    </row>
    <row r="34" spans="1:23" ht="19.5" customHeight="1">
      <c r="A34" s="145" t="s">
        <v>406</v>
      </c>
      <c r="B34" s="145"/>
      <c r="C34" s="194"/>
      <c r="D34" s="194"/>
      <c r="E34" s="194"/>
      <c r="F34" s="194"/>
      <c r="G34" s="194"/>
      <c r="H34" s="194"/>
      <c r="I34" s="194"/>
      <c r="J34" s="194"/>
      <c r="K34" s="194"/>
      <c r="L34" s="194"/>
      <c r="M34" s="4" t="s">
        <v>807</v>
      </c>
      <c r="N34" s="4"/>
      <c r="O34" s="4"/>
      <c r="P34" s="4"/>
      <c r="Q34" s="4"/>
      <c r="R34" s="4"/>
      <c r="S34" s="4"/>
      <c r="T34" s="4"/>
      <c r="U34" s="4"/>
      <c r="V34" s="4"/>
      <c r="W34" s="4"/>
    </row>
    <row r="35" spans="1:22" ht="19.5" customHeight="1">
      <c r="A35" s="191"/>
      <c r="B35" s="192"/>
      <c r="C35" s="184"/>
      <c r="D35" s="184"/>
      <c r="E35" s="184"/>
      <c r="F35" s="184"/>
      <c r="G35" s="184"/>
      <c r="H35" s="184"/>
      <c r="I35" s="184"/>
      <c r="J35" s="4"/>
      <c r="K35" s="4"/>
      <c r="L35" s="4"/>
      <c r="M35" s="4"/>
      <c r="N35" s="4"/>
      <c r="O35" s="4"/>
      <c r="P35" s="4"/>
      <c r="Q35" s="4"/>
      <c r="R35" s="4"/>
      <c r="S35" s="4"/>
      <c r="T35" s="4"/>
      <c r="U35" s="4"/>
      <c r="V35" s="4"/>
    </row>
    <row r="36" spans="1:22" ht="19.5" customHeight="1">
      <c r="A36" s="195" t="s">
        <v>107</v>
      </c>
      <c r="B36" s="192"/>
      <c r="C36" s="184"/>
      <c r="D36" s="184"/>
      <c r="E36" s="184"/>
      <c r="F36" s="184"/>
      <c r="G36" s="184"/>
      <c r="H36" s="184"/>
      <c r="I36" s="838">
        <f>'基礎'!A64</f>
      </c>
      <c r="J36" s="838"/>
      <c r="K36" s="838"/>
      <c r="L36" s="4"/>
      <c r="M36" s="4"/>
      <c r="N36" s="4"/>
      <c r="O36" s="4"/>
      <c r="P36" s="4"/>
      <c r="Q36" s="4"/>
      <c r="R36" s="4"/>
      <c r="S36" s="4"/>
      <c r="T36" s="4"/>
      <c r="U36" s="4"/>
      <c r="V36" s="4"/>
    </row>
    <row r="37" spans="1:22" ht="19.5" customHeight="1">
      <c r="A37" s="1" t="s">
        <v>482</v>
      </c>
      <c r="B37" s="192"/>
      <c r="C37" s="184"/>
      <c r="D37" s="184"/>
      <c r="E37" s="184"/>
      <c r="F37" s="184"/>
      <c r="G37" s="184"/>
      <c r="H37" s="184"/>
      <c r="I37" s="838"/>
      <c r="J37" s="838"/>
      <c r="K37" s="838"/>
      <c r="L37" s="4"/>
      <c r="M37" s="4"/>
      <c r="N37" s="4"/>
      <c r="O37" s="4"/>
      <c r="P37" s="4"/>
      <c r="Q37" s="4"/>
      <c r="R37" s="4"/>
      <c r="S37" s="4"/>
      <c r="T37" s="4"/>
      <c r="U37" s="4"/>
      <c r="V37" s="4"/>
    </row>
    <row r="38" spans="1:22" s="162" customFormat="1" ht="19.5" customHeight="1">
      <c r="A38" s="1" t="s">
        <v>108</v>
      </c>
      <c r="B38" s="160"/>
      <c r="C38" s="66"/>
      <c r="D38" s="66"/>
      <c r="E38" s="4"/>
      <c r="F38" s="4"/>
      <c r="G38" s="4"/>
      <c r="H38" s="4"/>
      <c r="I38" s="4"/>
      <c r="J38" s="4"/>
      <c r="K38" s="4"/>
      <c r="L38" s="4"/>
      <c r="M38" s="4"/>
      <c r="N38" s="4"/>
      <c r="O38" s="4"/>
      <c r="P38" s="4"/>
      <c r="Q38" s="4"/>
      <c r="R38" s="4"/>
      <c r="S38" s="4"/>
      <c r="T38" s="4"/>
      <c r="U38" s="4"/>
      <c r="V38" s="4"/>
    </row>
    <row r="39" spans="1:22" s="70" customFormat="1" ht="19.5" customHeight="1">
      <c r="A39" s="196" t="s">
        <v>878</v>
      </c>
      <c r="B39" s="197" t="str">
        <f>'基礎'!B43</f>
        <v>2</v>
      </c>
      <c r="C39" s="198">
        <f>'基礎'!C43</f>
        <v>0</v>
      </c>
      <c r="D39" s="198">
        <f>'基礎'!D43</f>
        <v>0</v>
      </c>
      <c r="E39" s="198">
        <f>'基礎'!E43</f>
        <v>0</v>
      </c>
      <c r="F39" s="198">
        <f>'基礎'!F43</f>
        <v>0</v>
      </c>
      <c r="G39" s="198">
        <f>'基礎'!G43</f>
        <v>0</v>
      </c>
      <c r="H39" s="198">
        <f>'基礎'!H43</f>
        <v>0</v>
      </c>
      <c r="I39" s="198">
        <f>'基礎'!I43</f>
        <v>0</v>
      </c>
      <c r="J39" s="198">
        <f>'基礎'!J43</f>
        <v>0</v>
      </c>
      <c r="K39" s="198">
        <f>'基礎'!K43</f>
        <v>0</v>
      </c>
      <c r="L39" s="4" t="s">
        <v>966</v>
      </c>
      <c r="M39" s="69"/>
      <c r="N39" s="69"/>
      <c r="O39" s="69"/>
      <c r="P39" s="69"/>
      <c r="Q39" s="69"/>
      <c r="R39" s="69"/>
      <c r="S39" s="69"/>
      <c r="T39" s="69"/>
      <c r="U39" s="69"/>
      <c r="V39" s="69"/>
    </row>
    <row r="40" spans="1:22" ht="19.5" customHeight="1">
      <c r="A40" s="163" t="s">
        <v>220</v>
      </c>
      <c r="B40" s="120" t="str">
        <f>'基礎'!B44</f>
        <v>主建物</v>
      </c>
      <c r="C40" s="120">
        <f>'基礎'!C44</f>
        <v>0</v>
      </c>
      <c r="D40" s="120">
        <f>'基礎'!D44</f>
        <v>0</v>
      </c>
      <c r="E40" s="120">
        <f>'基礎'!E44</f>
        <v>0</v>
      </c>
      <c r="F40" s="120">
        <f>'基礎'!F44</f>
        <v>0</v>
      </c>
      <c r="G40" s="120">
        <f>'基礎'!G44</f>
        <v>0</v>
      </c>
      <c r="H40" s="120">
        <f>'基礎'!H44</f>
        <v>0</v>
      </c>
      <c r="I40" s="120">
        <f>'基礎'!I44</f>
        <v>0</v>
      </c>
      <c r="J40" s="120">
        <f>'基礎'!J44</f>
        <v>0</v>
      </c>
      <c r="K40" s="130">
        <f>'基礎'!K44</f>
        <v>0</v>
      </c>
      <c r="L40" s="4" t="s">
        <v>483</v>
      </c>
      <c r="M40" s="4"/>
      <c r="N40" s="4"/>
      <c r="O40" s="4"/>
      <c r="P40" s="4"/>
      <c r="Q40" s="4"/>
      <c r="R40" s="4"/>
      <c r="S40" s="4"/>
      <c r="T40" s="4"/>
      <c r="U40" s="4"/>
      <c r="V40" s="4"/>
    </row>
    <row r="41" spans="1:22" ht="19.5" customHeight="1">
      <c r="A41" s="170" t="s">
        <v>599</v>
      </c>
      <c r="B41" s="199">
        <f>'基礎'!B59</f>
        <v>100</v>
      </c>
      <c r="C41" s="199">
        <f>'基礎'!C59</f>
        <v>0</v>
      </c>
      <c r="D41" s="199">
        <f>'基礎'!D59</f>
        <v>0</v>
      </c>
      <c r="E41" s="199">
        <f>'基礎'!E59</f>
        <v>0</v>
      </c>
      <c r="F41" s="199">
        <f>'基礎'!F59</f>
        <v>0</v>
      </c>
      <c r="G41" s="199">
        <f>'基礎'!G59</f>
        <v>0</v>
      </c>
      <c r="H41" s="199">
        <f>'基礎'!H59</f>
        <v>0</v>
      </c>
      <c r="I41" s="199">
        <f>'基礎'!I59</f>
        <v>0</v>
      </c>
      <c r="J41" s="199">
        <f>'基礎'!J59</f>
        <v>0</v>
      </c>
      <c r="K41" s="199">
        <f>'基礎'!K59</f>
        <v>0</v>
      </c>
      <c r="L41" s="4" t="s">
        <v>807</v>
      </c>
      <c r="M41" s="4"/>
      <c r="N41" s="4"/>
      <c r="O41" s="4"/>
      <c r="P41" s="4"/>
      <c r="Q41" s="4"/>
      <c r="R41" s="4"/>
      <c r="S41" s="4"/>
      <c r="T41" s="4"/>
      <c r="U41" s="4"/>
      <c r="V41" s="4"/>
    </row>
    <row r="42" spans="1:22" ht="19.5" customHeight="1">
      <c r="A42" s="170" t="s">
        <v>600</v>
      </c>
      <c r="B42" s="199">
        <f>IF('基礎'!B60=0,'基礎'!B59,'基礎'!B60)</f>
        <v>100</v>
      </c>
      <c r="C42" s="199">
        <f>IF('基礎'!C60=0,'基礎'!C59,'基礎'!C60)</f>
        <v>0</v>
      </c>
      <c r="D42" s="199">
        <f>IF('基礎'!D60=0,'基礎'!D59,'基礎'!D60)</f>
        <v>0</v>
      </c>
      <c r="E42" s="199">
        <f>IF('基礎'!E60=0,'基礎'!E59,'基礎'!E60)</f>
        <v>0</v>
      </c>
      <c r="F42" s="199">
        <f>IF('基礎'!F60=0,'基礎'!F59,'基礎'!F60)</f>
        <v>0</v>
      </c>
      <c r="G42" s="199">
        <f>IF('基礎'!G60=0,'基礎'!G59,'基礎'!G60)</f>
        <v>0</v>
      </c>
      <c r="H42" s="199">
        <f>IF('基礎'!H60=0,'基礎'!H59,'基礎'!H60)</f>
        <v>0</v>
      </c>
      <c r="I42" s="199">
        <f>IF('基礎'!I60=0,'基礎'!I59,'基礎'!I60)</f>
        <v>0</v>
      </c>
      <c r="J42" s="199">
        <f>IF('基礎'!J60=0,'基礎'!J59,'基礎'!J60)</f>
        <v>0</v>
      </c>
      <c r="K42" s="199">
        <f>IF('基礎'!K60=0,'基礎'!K59,'基礎'!K60)</f>
        <v>0</v>
      </c>
      <c r="L42" s="4" t="s">
        <v>903</v>
      </c>
      <c r="M42" s="4"/>
      <c r="N42" s="4"/>
      <c r="O42" s="4"/>
      <c r="P42" s="4"/>
      <c r="Q42" s="4"/>
      <c r="R42" s="4"/>
      <c r="S42" s="4"/>
      <c r="T42" s="4"/>
      <c r="U42" s="4"/>
      <c r="V42" s="4"/>
    </row>
    <row r="43" spans="1:22" ht="19.5" customHeight="1">
      <c r="A43" s="105" t="s">
        <v>407</v>
      </c>
      <c r="B43" s="170" t="str">
        <f>IF('基礎'!B60=0,"増築はない","増築あり")</f>
        <v>増築はない</v>
      </c>
      <c r="C43" s="170" t="str">
        <f>IF('基礎'!C60=0,"増築はない","増築あり")</f>
        <v>増築はない</v>
      </c>
      <c r="D43" s="170" t="str">
        <f>IF('基礎'!D60=0,"増築はない","増築あり")</f>
        <v>増築はない</v>
      </c>
      <c r="E43" s="170" t="str">
        <f>IF('基礎'!E60=0,"増築はない","増築あり")</f>
        <v>増築はない</v>
      </c>
      <c r="F43" s="170" t="str">
        <f>IF('基礎'!F60=0,"増築はない","増築あり")</f>
        <v>増築はない</v>
      </c>
      <c r="G43" s="170" t="str">
        <f>IF('基礎'!G60=0,"増築はない","増築あり")</f>
        <v>増築はない</v>
      </c>
      <c r="H43" s="170" t="str">
        <f>IF('基礎'!H60=0,"増築はない","増築あり")</f>
        <v>増築はない</v>
      </c>
      <c r="I43" s="170" t="str">
        <f>IF('基礎'!I60=0,"増築はない","増築あり")</f>
        <v>増築はない</v>
      </c>
      <c r="J43" s="170" t="str">
        <f>IF('基礎'!J60=0,"増築はない","増築あり")</f>
        <v>増築はない</v>
      </c>
      <c r="K43" s="170" t="str">
        <f>IF('基礎'!K60=0,"増築はない","増築あり")</f>
        <v>増築はない</v>
      </c>
      <c r="L43" s="4" t="s">
        <v>408</v>
      </c>
      <c r="M43" s="4"/>
      <c r="N43" s="4"/>
      <c r="O43" s="4"/>
      <c r="P43" s="4"/>
      <c r="Q43" s="4"/>
      <c r="R43" s="4"/>
      <c r="S43" s="4"/>
      <c r="T43" s="4"/>
      <c r="U43" s="4"/>
      <c r="V43" s="4"/>
    </row>
    <row r="44" spans="1:22" ht="19.5" customHeight="1">
      <c r="A44" s="163" t="s">
        <v>409</v>
      </c>
      <c r="B44" s="200">
        <v>31047</v>
      </c>
      <c r="C44" s="200"/>
      <c r="D44" s="200"/>
      <c r="E44" s="200"/>
      <c r="F44" s="200"/>
      <c r="G44" s="200"/>
      <c r="H44" s="200"/>
      <c r="I44" s="200"/>
      <c r="J44" s="200"/>
      <c r="K44" s="200"/>
      <c r="L44" s="4" t="s">
        <v>770</v>
      </c>
      <c r="M44" s="4"/>
      <c r="N44" s="4"/>
      <c r="O44" s="4"/>
      <c r="P44" s="4"/>
      <c r="Q44" s="4"/>
      <c r="R44" s="4"/>
      <c r="S44" s="4"/>
      <c r="T44" s="4"/>
      <c r="U44" s="4"/>
      <c r="V44" s="4"/>
    </row>
    <row r="45" spans="1:22" ht="19.5" customHeight="1">
      <c r="A45" s="163" t="s">
        <v>410</v>
      </c>
      <c r="B45" s="201">
        <v>0</v>
      </c>
      <c r="C45" s="202">
        <v>0</v>
      </c>
      <c r="D45" s="201">
        <v>0</v>
      </c>
      <c r="E45" s="201">
        <v>0</v>
      </c>
      <c r="F45" s="201">
        <v>0</v>
      </c>
      <c r="G45" s="201">
        <v>0</v>
      </c>
      <c r="H45" s="201">
        <v>0</v>
      </c>
      <c r="I45" s="201">
        <v>0</v>
      </c>
      <c r="J45" s="201">
        <v>0</v>
      </c>
      <c r="K45" s="22">
        <v>0</v>
      </c>
      <c r="L45" s="4" t="s">
        <v>770</v>
      </c>
      <c r="M45" s="4"/>
      <c r="N45" s="4"/>
      <c r="O45" s="4"/>
      <c r="P45" s="4"/>
      <c r="Q45" s="4"/>
      <c r="R45" s="4"/>
      <c r="S45" s="4"/>
      <c r="T45" s="4"/>
      <c r="U45" s="4"/>
      <c r="V45" s="4"/>
    </row>
    <row r="46" spans="1:22" ht="19.5" customHeight="1">
      <c r="A46" s="203" t="s">
        <v>411</v>
      </c>
      <c r="B46" s="197">
        <f>IF('基礎'!A108&gt;1,ROUND((再評価時点-B44)/365,1),ROUND((評価時点-B44)/365,1))</f>
        <v>17.4</v>
      </c>
      <c r="C46" s="197">
        <f>IF('基礎'!A108&gt;1,ROUND((再評価時点-C44)/365,1),ROUND((評価時点-C44)/365,1))</f>
        <v>102.4</v>
      </c>
      <c r="D46" s="197">
        <f>IF('基礎'!A108&gt;1,ROUND((再評価時点-D44)/365,1),ROUND((評価時点-D44)/365,1))</f>
        <v>102.4</v>
      </c>
      <c r="E46" s="197">
        <f>IF('基礎'!A108&gt;1,ROUND((再評価時点-E44)/365,1),ROUND((評価時点-E44)/365,1))</f>
        <v>102.4</v>
      </c>
      <c r="F46" s="197">
        <f>IF('基礎'!A108&gt;1,ROUND((再評価時点-F44)/365,1),ROUND((評価時点-F44)/365,1))</f>
        <v>102.4</v>
      </c>
      <c r="G46" s="197">
        <f>IF('基礎'!A108&gt;1,ROUND((再評価時点-G44)/365,1),ROUND((評価時点-G44)/365,1))</f>
        <v>102.4</v>
      </c>
      <c r="H46" s="197">
        <f>IF('基礎'!A108&gt;1,ROUND((再評価時点-H44)/365,1),ROUND((評価時点-H44)/365,1))</f>
        <v>102.4</v>
      </c>
      <c r="I46" s="197">
        <f>IF('基礎'!A108&gt;1,ROUND((再評価時点-I44)/365,1),ROUND((評価時点-I44)/365,1))</f>
        <v>102.4</v>
      </c>
      <c r="J46" s="197">
        <f>IF('基礎'!A108&gt;1,ROUND((再評価時点-J44)/365,1),ROUND((評価時点-J44)/365,1))</f>
        <v>102.4</v>
      </c>
      <c r="K46" s="198">
        <f>IF('基礎'!A108&gt;1,ROUND((再評価時点-K44)/365,1),ROUND((評価時点-K44)/365,1))</f>
        <v>102.4</v>
      </c>
      <c r="L46" s="4" t="s">
        <v>770</v>
      </c>
      <c r="M46" s="4"/>
      <c r="N46" s="4"/>
      <c r="O46" s="4"/>
      <c r="P46" s="4"/>
      <c r="Q46" s="4"/>
      <c r="R46" s="4"/>
      <c r="S46" s="4"/>
      <c r="T46" s="4"/>
      <c r="U46" s="4"/>
      <c r="V46" s="4"/>
    </row>
    <row r="47" spans="1:22" ht="19.5" customHeight="1">
      <c r="A47" s="203" t="s">
        <v>412</v>
      </c>
      <c r="B47" s="197">
        <f>B46+B48</f>
        <v>27.4</v>
      </c>
      <c r="C47" s="197">
        <f aca="true" t="shared" si="0" ref="C47:K47">C46+C48</f>
        <v>102.4</v>
      </c>
      <c r="D47" s="197">
        <f t="shared" si="0"/>
        <v>102.4</v>
      </c>
      <c r="E47" s="197">
        <f t="shared" si="0"/>
        <v>102.4</v>
      </c>
      <c r="F47" s="197">
        <f t="shared" si="0"/>
        <v>102.4</v>
      </c>
      <c r="G47" s="197">
        <f t="shared" si="0"/>
        <v>102.4</v>
      </c>
      <c r="H47" s="197">
        <f t="shared" si="0"/>
        <v>102.4</v>
      </c>
      <c r="I47" s="197">
        <f t="shared" si="0"/>
        <v>102.4</v>
      </c>
      <c r="J47" s="197">
        <f t="shared" si="0"/>
        <v>102.4</v>
      </c>
      <c r="K47" s="198">
        <f t="shared" si="0"/>
        <v>102.4</v>
      </c>
      <c r="L47" s="4"/>
      <c r="M47" s="4"/>
      <c r="N47" s="4"/>
      <c r="O47" s="4"/>
      <c r="P47" s="4"/>
      <c r="Q47" s="4"/>
      <c r="R47" s="4"/>
      <c r="S47" s="4"/>
      <c r="T47" s="4"/>
      <c r="U47" s="4"/>
      <c r="V47" s="4"/>
    </row>
    <row r="48" spans="1:22" s="165" customFormat="1" ht="19.5" customHeight="1">
      <c r="A48" s="204" t="s">
        <v>161</v>
      </c>
      <c r="B48" s="201">
        <v>10</v>
      </c>
      <c r="C48" s="201"/>
      <c r="D48" s="201"/>
      <c r="E48" s="201"/>
      <c r="F48" s="201"/>
      <c r="G48" s="201"/>
      <c r="H48" s="201"/>
      <c r="I48" s="201"/>
      <c r="J48" s="201"/>
      <c r="K48" s="201"/>
      <c r="L48" s="1" t="s">
        <v>770</v>
      </c>
      <c r="M48" s="1"/>
      <c r="N48" s="1"/>
      <c r="O48" s="1"/>
      <c r="P48" s="1"/>
      <c r="Q48" s="1"/>
      <c r="R48" s="1"/>
      <c r="S48" s="1"/>
      <c r="T48" s="1"/>
      <c r="U48" s="1"/>
      <c r="V48" s="1"/>
    </row>
    <row r="49" spans="1:22" s="165" customFormat="1" ht="19.5" customHeight="1">
      <c r="A49" s="163" t="s">
        <v>892</v>
      </c>
      <c r="B49" s="205" t="s">
        <v>413</v>
      </c>
      <c r="C49" s="205"/>
      <c r="D49" s="205"/>
      <c r="E49" s="205"/>
      <c r="F49" s="205"/>
      <c r="G49" s="205"/>
      <c r="H49" s="205"/>
      <c r="I49" s="205"/>
      <c r="J49" s="205"/>
      <c r="K49" s="206"/>
      <c r="L49" s="1" t="s">
        <v>894</v>
      </c>
      <c r="M49" s="1"/>
      <c r="N49" s="1"/>
      <c r="O49" s="1"/>
      <c r="P49" s="1"/>
      <c r="Q49" s="1"/>
      <c r="R49" s="1"/>
      <c r="S49" s="1"/>
      <c r="T49" s="1"/>
      <c r="U49" s="1"/>
      <c r="V49" s="1"/>
    </row>
    <row r="50" spans="1:22" s="165" customFormat="1" ht="19.5" customHeight="1">
      <c r="A50" s="163" t="s">
        <v>895</v>
      </c>
      <c r="B50" s="205" t="s">
        <v>377</v>
      </c>
      <c r="C50" s="205"/>
      <c r="D50" s="205"/>
      <c r="E50" s="205"/>
      <c r="F50" s="205"/>
      <c r="G50" s="205"/>
      <c r="H50" s="205"/>
      <c r="I50" s="205"/>
      <c r="J50" s="205"/>
      <c r="K50" s="206"/>
      <c r="L50" s="1"/>
      <c r="M50" s="1"/>
      <c r="N50" s="1"/>
      <c r="O50" s="1"/>
      <c r="P50" s="1"/>
      <c r="Q50" s="1"/>
      <c r="R50" s="1"/>
      <c r="S50" s="1"/>
      <c r="T50" s="1"/>
      <c r="U50" s="1"/>
      <c r="V50" s="1"/>
    </row>
    <row r="51" spans="1:22" s="165" customFormat="1" ht="19.5" customHeight="1">
      <c r="A51" s="163" t="s">
        <v>378</v>
      </c>
      <c r="B51" s="207" t="s">
        <v>379</v>
      </c>
      <c r="C51" s="207"/>
      <c r="D51" s="207"/>
      <c r="E51" s="207"/>
      <c r="F51" s="207"/>
      <c r="G51" s="207"/>
      <c r="H51" s="207"/>
      <c r="I51" s="207"/>
      <c r="J51" s="207"/>
      <c r="K51" s="208"/>
      <c r="L51" s="1" t="s">
        <v>900</v>
      </c>
      <c r="M51" s="1"/>
      <c r="N51" s="1"/>
      <c r="O51" s="1"/>
      <c r="P51" s="1"/>
      <c r="Q51" s="1"/>
      <c r="R51" s="1"/>
      <c r="S51" s="1"/>
      <c r="T51" s="1"/>
      <c r="U51" s="1"/>
      <c r="V51" s="1"/>
    </row>
    <row r="52" spans="1:22" s="165" customFormat="1" ht="19.5" customHeight="1">
      <c r="A52" s="163" t="s">
        <v>275</v>
      </c>
      <c r="B52" s="207" t="s">
        <v>276</v>
      </c>
      <c r="C52" s="207" t="s">
        <v>807</v>
      </c>
      <c r="D52" s="207"/>
      <c r="E52" s="207"/>
      <c r="F52" s="207"/>
      <c r="G52" s="207"/>
      <c r="H52" s="207"/>
      <c r="I52" s="207"/>
      <c r="J52" s="207"/>
      <c r="K52" s="208"/>
      <c r="L52" s="1" t="s">
        <v>807</v>
      </c>
      <c r="M52" s="1"/>
      <c r="N52" s="1"/>
      <c r="O52" s="1"/>
      <c r="P52" s="1"/>
      <c r="Q52" s="1"/>
      <c r="R52" s="1"/>
      <c r="S52" s="1"/>
      <c r="T52" s="1"/>
      <c r="U52" s="1"/>
      <c r="V52" s="1"/>
    </row>
    <row r="53" spans="1:22" s="165" customFormat="1" ht="19.5" customHeight="1">
      <c r="A53" s="163" t="s">
        <v>277</v>
      </c>
      <c r="B53" s="207" t="s">
        <v>278</v>
      </c>
      <c r="C53" s="207" t="s">
        <v>267</v>
      </c>
      <c r="D53" s="207"/>
      <c r="E53" s="207"/>
      <c r="F53" s="207"/>
      <c r="G53" s="207"/>
      <c r="H53" s="207"/>
      <c r="I53" s="207"/>
      <c r="J53" s="207"/>
      <c r="K53" s="208"/>
      <c r="L53" s="1" t="s">
        <v>267</v>
      </c>
      <c r="M53" s="1"/>
      <c r="N53" s="1"/>
      <c r="O53" s="1"/>
      <c r="P53" s="1"/>
      <c r="Q53" s="1"/>
      <c r="R53" s="1"/>
      <c r="S53" s="1"/>
      <c r="T53" s="1"/>
      <c r="U53" s="1"/>
      <c r="V53" s="1"/>
    </row>
    <row r="54" spans="1:22" s="165" customFormat="1" ht="19.5" customHeight="1">
      <c r="A54" s="163" t="s">
        <v>268</v>
      </c>
      <c r="B54" s="207" t="s">
        <v>269</v>
      </c>
      <c r="C54" s="207" t="s">
        <v>270</v>
      </c>
      <c r="D54" s="207"/>
      <c r="E54" s="207"/>
      <c r="F54" s="207"/>
      <c r="G54" s="207"/>
      <c r="H54" s="207"/>
      <c r="I54" s="207"/>
      <c r="J54" s="207"/>
      <c r="K54" s="208"/>
      <c r="L54" s="1" t="s">
        <v>270</v>
      </c>
      <c r="M54" s="1"/>
      <c r="N54" s="1"/>
      <c r="O54" s="1"/>
      <c r="P54" s="1"/>
      <c r="Q54" s="1"/>
      <c r="R54" s="1"/>
      <c r="S54" s="1"/>
      <c r="T54" s="1"/>
      <c r="U54" s="1"/>
      <c r="V54" s="1"/>
    </row>
    <row r="55" spans="1:22" s="165" customFormat="1" ht="19.5" customHeight="1">
      <c r="A55" s="163" t="s">
        <v>271</v>
      </c>
      <c r="B55" s="207" t="s">
        <v>272</v>
      </c>
      <c r="C55" s="207" t="s">
        <v>6</v>
      </c>
      <c r="D55" s="207"/>
      <c r="E55" s="207"/>
      <c r="F55" s="207"/>
      <c r="G55" s="207"/>
      <c r="H55" s="207"/>
      <c r="I55" s="207"/>
      <c r="J55" s="207"/>
      <c r="K55" s="208"/>
      <c r="L55" s="1" t="s">
        <v>6</v>
      </c>
      <c r="M55" s="1"/>
      <c r="N55" s="1"/>
      <c r="O55" s="1"/>
      <c r="P55" s="1"/>
      <c r="Q55" s="1"/>
      <c r="R55" s="1"/>
      <c r="S55" s="1"/>
      <c r="T55" s="1"/>
      <c r="U55" s="1"/>
      <c r="V55" s="1"/>
    </row>
    <row r="56" spans="1:22" s="165" customFormat="1" ht="19.5" customHeight="1">
      <c r="A56" s="163" t="s">
        <v>215</v>
      </c>
      <c r="B56" s="207" t="s">
        <v>216</v>
      </c>
      <c r="C56" s="207" t="s">
        <v>280</v>
      </c>
      <c r="D56" s="207"/>
      <c r="E56" s="207"/>
      <c r="F56" s="207"/>
      <c r="G56" s="207"/>
      <c r="H56" s="207"/>
      <c r="I56" s="207"/>
      <c r="J56" s="207"/>
      <c r="K56" s="208"/>
      <c r="L56" s="1" t="s">
        <v>280</v>
      </c>
      <c r="M56" s="1"/>
      <c r="N56" s="1"/>
      <c r="O56" s="1"/>
      <c r="P56" s="1"/>
      <c r="Q56" s="1"/>
      <c r="R56" s="1"/>
      <c r="S56" s="1"/>
      <c r="T56" s="1"/>
      <c r="U56" s="1"/>
      <c r="V56" s="1"/>
    </row>
    <row r="57" spans="1:22" s="165" customFormat="1" ht="19.5" customHeight="1">
      <c r="A57" s="163" t="s">
        <v>525</v>
      </c>
      <c r="B57" s="207" t="s">
        <v>348</v>
      </c>
      <c r="C57" s="207"/>
      <c r="D57" s="207"/>
      <c r="E57" s="207"/>
      <c r="F57" s="207"/>
      <c r="G57" s="207"/>
      <c r="H57" s="207"/>
      <c r="I57" s="207"/>
      <c r="J57" s="207"/>
      <c r="K57" s="208"/>
      <c r="L57" s="1" t="s">
        <v>7</v>
      </c>
      <c r="M57" s="1"/>
      <c r="N57" s="1"/>
      <c r="O57" s="1"/>
      <c r="P57" s="1"/>
      <c r="Q57" s="1"/>
      <c r="R57" s="1"/>
      <c r="S57" s="1"/>
      <c r="T57" s="1"/>
      <c r="U57" s="1"/>
      <c r="V57" s="1"/>
    </row>
    <row r="58" spans="1:22" s="165" customFormat="1" ht="19.5" customHeight="1">
      <c r="A58" s="163" t="s">
        <v>281</v>
      </c>
      <c r="B58" s="207" t="s">
        <v>282</v>
      </c>
      <c r="C58" s="207"/>
      <c r="D58" s="207"/>
      <c r="E58" s="207"/>
      <c r="F58" s="207"/>
      <c r="G58" s="207"/>
      <c r="H58" s="207"/>
      <c r="I58" s="207"/>
      <c r="J58" s="207"/>
      <c r="K58" s="208"/>
      <c r="L58" s="1" t="s">
        <v>279</v>
      </c>
      <c r="M58" s="1"/>
      <c r="N58" s="1"/>
      <c r="O58" s="1"/>
      <c r="P58" s="1"/>
      <c r="Q58" s="1"/>
      <c r="R58" s="1"/>
      <c r="S58" s="1"/>
      <c r="T58" s="1"/>
      <c r="U58" s="1"/>
      <c r="V58" s="1"/>
    </row>
    <row r="59" spans="1:22" s="165" customFormat="1" ht="19.5" customHeight="1">
      <c r="A59" s="163" t="s">
        <v>876</v>
      </c>
      <c r="B59" s="207" t="s">
        <v>954</v>
      </c>
      <c r="C59" s="207"/>
      <c r="D59" s="207"/>
      <c r="E59" s="207"/>
      <c r="F59" s="207"/>
      <c r="G59" s="207"/>
      <c r="H59" s="207"/>
      <c r="I59" s="207"/>
      <c r="J59" s="207"/>
      <c r="K59" s="208"/>
      <c r="L59" s="1" t="s">
        <v>279</v>
      </c>
      <c r="M59" s="1"/>
      <c r="N59" s="1"/>
      <c r="O59" s="1"/>
      <c r="P59" s="1"/>
      <c r="Q59" s="1"/>
      <c r="R59" s="1"/>
      <c r="S59" s="1"/>
      <c r="T59" s="1"/>
      <c r="U59" s="1"/>
      <c r="V59" s="1"/>
    </row>
    <row r="60" spans="1:22" s="165" customFormat="1" ht="19.5" customHeight="1">
      <c r="A60" s="209" t="s">
        <v>176</v>
      </c>
      <c r="B60" s="208" t="s">
        <v>177</v>
      </c>
      <c r="C60" s="208"/>
      <c r="D60" s="208"/>
      <c r="E60" s="208"/>
      <c r="F60" s="208"/>
      <c r="G60" s="208"/>
      <c r="H60" s="208"/>
      <c r="I60" s="208"/>
      <c r="J60" s="208"/>
      <c r="K60" s="208"/>
      <c r="L60" s="1" t="s">
        <v>56</v>
      </c>
      <c r="M60" s="1"/>
      <c r="N60" s="1"/>
      <c r="O60" s="1"/>
      <c r="P60" s="1"/>
      <c r="Q60" s="1"/>
      <c r="R60" s="1"/>
      <c r="S60" s="1"/>
      <c r="T60" s="1"/>
      <c r="U60" s="1"/>
      <c r="V60" s="1"/>
    </row>
    <row r="61" spans="1:22" s="165" customFormat="1" ht="19.5" customHeight="1">
      <c r="A61" s="209" t="s">
        <v>178</v>
      </c>
      <c r="B61" s="208" t="s">
        <v>177</v>
      </c>
      <c r="C61" s="208"/>
      <c r="D61" s="208"/>
      <c r="E61" s="208"/>
      <c r="F61" s="208"/>
      <c r="G61" s="208"/>
      <c r="H61" s="208"/>
      <c r="I61" s="208"/>
      <c r="J61" s="208"/>
      <c r="K61" s="208"/>
      <c r="L61" s="1" t="s">
        <v>56</v>
      </c>
      <c r="M61" s="1"/>
      <c r="N61" s="1"/>
      <c r="O61" s="1"/>
      <c r="P61" s="1"/>
      <c r="Q61" s="1"/>
      <c r="R61" s="1"/>
      <c r="S61" s="1"/>
      <c r="T61" s="1"/>
      <c r="U61" s="1"/>
      <c r="V61" s="1"/>
    </row>
    <row r="62" spans="1:22" s="165" customFormat="1" ht="19.5" customHeight="1">
      <c r="A62" s="209" t="s">
        <v>179</v>
      </c>
      <c r="B62" s="208" t="s">
        <v>177</v>
      </c>
      <c r="C62" s="208"/>
      <c r="D62" s="208"/>
      <c r="E62" s="208"/>
      <c r="F62" s="208"/>
      <c r="G62" s="208"/>
      <c r="H62" s="208"/>
      <c r="I62" s="208"/>
      <c r="J62" s="208"/>
      <c r="K62" s="208"/>
      <c r="L62" s="1" t="s">
        <v>56</v>
      </c>
      <c r="M62" s="1"/>
      <c r="N62" s="1"/>
      <c r="O62" s="1"/>
      <c r="P62" s="1"/>
      <c r="Q62" s="1"/>
      <c r="R62" s="1"/>
      <c r="S62" s="1"/>
      <c r="T62" s="1"/>
      <c r="U62" s="1"/>
      <c r="V62" s="1"/>
    </row>
    <row r="63" spans="1:22" s="165" customFormat="1" ht="19.5" customHeight="1">
      <c r="A63" s="163" t="s">
        <v>180</v>
      </c>
      <c r="B63" s="207" t="s">
        <v>177</v>
      </c>
      <c r="C63" s="207"/>
      <c r="D63" s="207"/>
      <c r="E63" s="207"/>
      <c r="F63" s="207"/>
      <c r="G63" s="207"/>
      <c r="H63" s="207"/>
      <c r="I63" s="207"/>
      <c r="J63" s="207"/>
      <c r="K63" s="208"/>
      <c r="L63" s="1" t="s">
        <v>56</v>
      </c>
      <c r="M63" s="1"/>
      <c r="N63" s="1"/>
      <c r="O63" s="1"/>
      <c r="P63" s="1"/>
      <c r="Q63" s="1"/>
      <c r="R63" s="1"/>
      <c r="S63" s="1"/>
      <c r="T63" s="1"/>
      <c r="U63" s="1"/>
      <c r="V63" s="1"/>
    </row>
    <row r="64" spans="1:22" s="165" customFormat="1" ht="19.5" customHeight="1">
      <c r="A64" s="163" t="s">
        <v>328</v>
      </c>
      <c r="B64" s="207" t="s">
        <v>429</v>
      </c>
      <c r="C64" s="207" t="s">
        <v>55</v>
      </c>
      <c r="D64" s="207"/>
      <c r="E64" s="207"/>
      <c r="F64" s="207"/>
      <c r="G64" s="207"/>
      <c r="H64" s="207"/>
      <c r="I64" s="207"/>
      <c r="J64" s="207"/>
      <c r="K64" s="208"/>
      <c r="L64" s="1" t="s">
        <v>55</v>
      </c>
      <c r="M64" s="1"/>
      <c r="N64" s="1"/>
      <c r="O64" s="1"/>
      <c r="P64" s="1"/>
      <c r="Q64" s="1"/>
      <c r="R64" s="1"/>
      <c r="S64" s="1"/>
      <c r="T64" s="1"/>
      <c r="U64" s="1"/>
      <c r="V64" s="1"/>
    </row>
    <row r="65" spans="1:22" s="165" customFormat="1" ht="19.5" customHeight="1">
      <c r="A65" s="163" t="s">
        <v>242</v>
      </c>
      <c r="B65" s="207" t="s">
        <v>348</v>
      </c>
      <c r="C65" s="207"/>
      <c r="D65" s="207"/>
      <c r="E65" s="207"/>
      <c r="F65" s="207"/>
      <c r="G65" s="207"/>
      <c r="H65" s="207"/>
      <c r="I65" s="207"/>
      <c r="J65" s="207"/>
      <c r="K65" s="208"/>
      <c r="L65" s="1" t="s">
        <v>7</v>
      </c>
      <c r="M65" s="1"/>
      <c r="N65" s="1"/>
      <c r="O65" s="1"/>
      <c r="P65" s="1"/>
      <c r="Q65" s="1"/>
      <c r="R65" s="1"/>
      <c r="S65" s="1"/>
      <c r="T65" s="1"/>
      <c r="U65" s="1"/>
      <c r="V65" s="1"/>
    </row>
    <row r="66" spans="1:22" ht="19.5" customHeight="1">
      <c r="A66" s="210" t="s">
        <v>406</v>
      </c>
      <c r="B66" s="211"/>
      <c r="C66" s="211">
        <v>0</v>
      </c>
      <c r="D66" s="211"/>
      <c r="E66" s="211"/>
      <c r="F66" s="211"/>
      <c r="G66" s="211"/>
      <c r="H66" s="211"/>
      <c r="I66" s="211"/>
      <c r="J66" s="211"/>
      <c r="K66" s="194"/>
      <c r="L66" s="4" t="s">
        <v>109</v>
      </c>
      <c r="M66" s="4"/>
      <c r="N66" s="4"/>
      <c r="O66" s="4"/>
      <c r="P66" s="4"/>
      <c r="Q66" s="4"/>
      <c r="R66" s="4"/>
      <c r="S66" s="4"/>
      <c r="T66" s="4"/>
      <c r="U66" s="4"/>
      <c r="V66" s="4"/>
    </row>
    <row r="67" spans="1:22" ht="19.5" customHeight="1">
      <c r="A67" s="4"/>
      <c r="B67" s="4"/>
      <c r="C67" s="160" t="s">
        <v>109</v>
      </c>
      <c r="D67" s="4"/>
      <c r="E67" s="4"/>
      <c r="F67" s="4"/>
      <c r="G67" s="4"/>
      <c r="H67" s="4"/>
      <c r="I67" s="4"/>
      <c r="J67" s="4"/>
      <c r="K67" s="4"/>
      <c r="L67" s="4" t="s">
        <v>109</v>
      </c>
      <c r="M67" s="4"/>
      <c r="N67" s="4"/>
      <c r="O67" s="4"/>
      <c r="P67" s="4"/>
      <c r="Q67" s="4"/>
      <c r="R67" s="4"/>
      <c r="S67" s="4"/>
      <c r="T67" s="4"/>
      <c r="U67" s="4"/>
      <c r="V67" s="4"/>
    </row>
    <row r="68" spans="1:22" ht="19.5" customHeight="1" hidden="1">
      <c r="A68" s="1" t="s">
        <v>424</v>
      </c>
      <c r="B68" s="4"/>
      <c r="C68" s="160" t="s">
        <v>55</v>
      </c>
      <c r="D68" s="4"/>
      <c r="E68" s="4"/>
      <c r="F68" s="4"/>
      <c r="G68" s="4"/>
      <c r="H68" s="4"/>
      <c r="I68" s="4"/>
      <c r="J68" s="4"/>
      <c r="K68" s="4"/>
      <c r="L68" s="4"/>
      <c r="M68" s="4"/>
      <c r="N68" s="4"/>
      <c r="O68" s="4"/>
      <c r="P68" s="4"/>
      <c r="Q68" s="4"/>
      <c r="R68" s="4"/>
      <c r="S68" s="4"/>
      <c r="T68" s="4"/>
      <c r="U68" s="4"/>
      <c r="V68" s="4"/>
    </row>
    <row r="69" spans="1:22" ht="19.5" customHeight="1" hidden="1">
      <c r="A69" s="212" t="s">
        <v>959</v>
      </c>
      <c r="B69" s="900" t="str">
        <f>市町村名等&amp;'基礎'!B32&amp;'基礎'!B33</f>
        <v> 柳ヶ瀬１丁目101番</v>
      </c>
      <c r="C69" s="900"/>
      <c r="D69" s="900"/>
      <c r="E69" s="1" t="s">
        <v>526</v>
      </c>
      <c r="F69" s="4"/>
      <c r="G69" s="4"/>
      <c r="H69" s="4"/>
      <c r="I69" s="4"/>
      <c r="J69" s="4"/>
      <c r="K69" s="4"/>
      <c r="L69" s="4"/>
      <c r="M69" s="4"/>
      <c r="N69" s="4"/>
      <c r="O69" s="4"/>
      <c r="P69" s="4"/>
      <c r="Q69" s="4"/>
      <c r="R69" s="4"/>
      <c r="S69" s="4"/>
      <c r="T69" s="4"/>
      <c r="U69" s="4"/>
      <c r="V69" s="4"/>
    </row>
    <row r="70" spans="1:22" ht="19.5" customHeight="1" hidden="1">
      <c r="A70" s="212" t="s">
        <v>527</v>
      </c>
      <c r="B70" s="901" t="s">
        <v>528</v>
      </c>
      <c r="C70" s="901"/>
      <c r="D70" s="901"/>
      <c r="E70" s="1" t="s">
        <v>529</v>
      </c>
      <c r="F70" s="4"/>
      <c r="G70" s="4"/>
      <c r="H70" s="4"/>
      <c r="I70" s="4"/>
      <c r="J70" s="4"/>
      <c r="K70" s="4"/>
      <c r="L70" s="4"/>
      <c r="M70" s="4"/>
      <c r="N70" s="4"/>
      <c r="O70" s="4"/>
      <c r="P70" s="4"/>
      <c r="Q70" s="4"/>
      <c r="R70" s="4"/>
      <c r="S70" s="4"/>
      <c r="T70" s="4"/>
      <c r="U70" s="4"/>
      <c r="V70" s="4"/>
    </row>
    <row r="71" spans="1:22" ht="19.5" customHeight="1" hidden="1">
      <c r="A71" s="212" t="s">
        <v>530</v>
      </c>
      <c r="B71" s="901" t="s">
        <v>430</v>
      </c>
      <c r="C71" s="901"/>
      <c r="D71" s="901"/>
      <c r="E71" s="1"/>
      <c r="F71" s="4"/>
      <c r="G71" s="4"/>
      <c r="H71" s="4"/>
      <c r="I71" s="4"/>
      <c r="J71" s="4"/>
      <c r="K71" s="4"/>
      <c r="L71" s="4"/>
      <c r="M71" s="4"/>
      <c r="N71" s="4"/>
      <c r="O71" s="4"/>
      <c r="P71" s="4"/>
      <c r="Q71" s="4"/>
      <c r="R71" s="4"/>
      <c r="S71" s="4"/>
      <c r="T71" s="4"/>
      <c r="U71" s="4"/>
      <c r="V71" s="4"/>
    </row>
    <row r="72" spans="1:22" ht="19.5" customHeight="1" hidden="1">
      <c r="A72" s="212" t="s">
        <v>431</v>
      </c>
      <c r="B72" s="901" t="s">
        <v>329</v>
      </c>
      <c r="C72" s="901"/>
      <c r="D72" s="901"/>
      <c r="E72" s="195"/>
      <c r="F72" s="4"/>
      <c r="G72" s="4"/>
      <c r="H72" s="4"/>
      <c r="I72" s="4"/>
      <c r="J72" s="4"/>
      <c r="K72" s="4"/>
      <c r="L72" s="4"/>
      <c r="M72" s="4"/>
      <c r="N72" s="4"/>
      <c r="O72" s="4"/>
      <c r="P72" s="4"/>
      <c r="Q72" s="4"/>
      <c r="R72" s="4"/>
      <c r="S72" s="4"/>
      <c r="T72" s="4"/>
      <c r="U72" s="4"/>
      <c r="V72" s="4"/>
    </row>
    <row r="73" spans="1:22" ht="19.5" customHeight="1" hidden="1">
      <c r="A73" s="212" t="s">
        <v>436</v>
      </c>
      <c r="B73" s="899">
        <f>'試算'!B32</f>
        <v>100</v>
      </c>
      <c r="C73" s="899"/>
      <c r="D73" s="899"/>
      <c r="E73" s="1" t="s">
        <v>437</v>
      </c>
      <c r="F73" s="4"/>
      <c r="G73" s="4"/>
      <c r="H73" s="4"/>
      <c r="I73" s="4"/>
      <c r="J73" s="4"/>
      <c r="K73" s="4"/>
      <c r="L73" s="4"/>
      <c r="M73" s="4"/>
      <c r="N73" s="4"/>
      <c r="O73" s="4"/>
      <c r="P73" s="4"/>
      <c r="Q73" s="4"/>
      <c r="R73" s="4"/>
      <c r="S73" s="4"/>
      <c r="T73" s="4"/>
      <c r="U73" s="4"/>
      <c r="V73" s="4"/>
    </row>
    <row r="74" spans="1:22" ht="19.5" customHeight="1" hidden="1">
      <c r="A74" s="212" t="s">
        <v>331</v>
      </c>
      <c r="B74" s="905">
        <v>28186</v>
      </c>
      <c r="C74" s="905"/>
      <c r="D74" s="905"/>
      <c r="E74" s="1" t="s">
        <v>529</v>
      </c>
      <c r="F74" s="4"/>
      <c r="G74" s="4"/>
      <c r="H74" s="4"/>
      <c r="I74" s="4"/>
      <c r="J74" s="4"/>
      <c r="K74" s="4"/>
      <c r="L74" s="4"/>
      <c r="M74" s="4"/>
      <c r="N74" s="4"/>
      <c r="O74" s="4"/>
      <c r="P74" s="4"/>
      <c r="Q74" s="4"/>
      <c r="R74" s="4"/>
      <c r="S74" s="4"/>
      <c r="T74" s="4"/>
      <c r="U74" s="4"/>
      <c r="V74" s="4"/>
    </row>
    <row r="75" spans="1:22" ht="19.5" customHeight="1" hidden="1">
      <c r="A75" s="212" t="s">
        <v>332</v>
      </c>
      <c r="B75" s="902">
        <v>36238</v>
      </c>
      <c r="C75" s="903"/>
      <c r="D75" s="904"/>
      <c r="E75" s="195"/>
      <c r="F75" s="4"/>
      <c r="G75" s="4"/>
      <c r="H75" s="4"/>
      <c r="I75" s="4"/>
      <c r="J75" s="4"/>
      <c r="K75" s="4"/>
      <c r="L75" s="4"/>
      <c r="M75" s="4"/>
      <c r="N75" s="4"/>
      <c r="O75" s="4"/>
      <c r="P75" s="4"/>
      <c r="Q75" s="4"/>
      <c r="R75" s="4"/>
      <c r="S75" s="4"/>
      <c r="T75" s="4"/>
      <c r="U75" s="4"/>
      <c r="V75" s="4"/>
    </row>
    <row r="76" spans="1:22" ht="19.5" customHeight="1" hidden="1">
      <c r="A76" s="212" t="s">
        <v>333</v>
      </c>
      <c r="B76" s="906">
        <v>35000</v>
      </c>
      <c r="C76" s="906"/>
      <c r="D76" s="906"/>
      <c r="E76" s="195"/>
      <c r="F76" s="4"/>
      <c r="G76" s="4"/>
      <c r="H76" s="4"/>
      <c r="I76" s="4"/>
      <c r="J76" s="4"/>
      <c r="K76" s="4"/>
      <c r="L76" s="4"/>
      <c r="M76" s="4"/>
      <c r="N76" s="4"/>
      <c r="O76" s="4"/>
      <c r="P76" s="4"/>
      <c r="Q76" s="4"/>
      <c r="R76" s="4"/>
      <c r="S76" s="4"/>
      <c r="T76" s="4"/>
      <c r="U76" s="4"/>
      <c r="V76" s="4"/>
    </row>
    <row r="77" spans="1:22" ht="19.5" customHeight="1" hidden="1">
      <c r="A77" s="212" t="s">
        <v>330</v>
      </c>
      <c r="B77" s="901" t="s">
        <v>311</v>
      </c>
      <c r="C77" s="901"/>
      <c r="D77" s="901"/>
      <c r="E77" s="195"/>
      <c r="F77" s="4"/>
      <c r="G77" s="4"/>
      <c r="H77" s="4"/>
      <c r="I77" s="4"/>
      <c r="J77" s="4"/>
      <c r="K77" s="4"/>
      <c r="L77" s="4"/>
      <c r="M77" s="4"/>
      <c r="N77" s="4"/>
      <c r="O77" s="4"/>
      <c r="P77" s="4"/>
      <c r="Q77" s="4"/>
      <c r="R77" s="4"/>
      <c r="S77" s="4"/>
      <c r="T77" s="4"/>
      <c r="U77" s="4"/>
      <c r="V77" s="4"/>
    </row>
    <row r="78" spans="1:22" ht="19.5" customHeight="1" hidden="1">
      <c r="A78" s="212" t="s">
        <v>157</v>
      </c>
      <c r="B78" s="901" t="s">
        <v>312</v>
      </c>
      <c r="C78" s="901"/>
      <c r="D78" s="901"/>
      <c r="E78" s="195"/>
      <c r="F78" s="4"/>
      <c r="G78" s="4"/>
      <c r="H78" s="4"/>
      <c r="I78" s="4"/>
      <c r="J78" s="4"/>
      <c r="K78" s="4"/>
      <c r="L78" s="4"/>
      <c r="M78" s="4"/>
      <c r="N78" s="4"/>
      <c r="O78" s="4"/>
      <c r="P78" s="4"/>
      <c r="Q78" s="4"/>
      <c r="R78" s="4"/>
      <c r="S78" s="4"/>
      <c r="T78" s="4"/>
      <c r="U78" s="4"/>
      <c r="V78" s="4"/>
    </row>
    <row r="79" spans="1:22" ht="19.5" customHeight="1" hidden="1">
      <c r="A79" s="212" t="s">
        <v>242</v>
      </c>
      <c r="B79" s="901" t="s">
        <v>313</v>
      </c>
      <c r="C79" s="901"/>
      <c r="D79" s="901"/>
      <c r="E79" s="195"/>
      <c r="F79" s="4"/>
      <c r="G79" s="4"/>
      <c r="H79" s="4"/>
      <c r="I79" s="4"/>
      <c r="J79" s="4"/>
      <c r="K79" s="4"/>
      <c r="L79" s="4"/>
      <c r="M79" s="4"/>
      <c r="N79" s="4"/>
      <c r="O79" s="4"/>
      <c r="P79" s="4"/>
      <c r="Q79" s="4"/>
      <c r="R79" s="4"/>
      <c r="S79" s="4"/>
      <c r="T79" s="4"/>
      <c r="U79" s="4"/>
      <c r="V79" s="4"/>
    </row>
    <row r="80" spans="1:22" ht="19.5" customHeight="1">
      <c r="A80" s="4"/>
      <c r="B80" s="4"/>
      <c r="C80" s="160"/>
      <c r="D80" s="161"/>
      <c r="E80" s="213" t="s">
        <v>7</v>
      </c>
      <c r="F80" s="4"/>
      <c r="G80" s="4"/>
      <c r="H80" s="4"/>
      <c r="I80" s="4"/>
      <c r="J80" s="4"/>
      <c r="K80" s="4"/>
      <c r="L80" s="4"/>
      <c r="M80" s="4"/>
      <c r="N80" s="4"/>
      <c r="O80" s="4"/>
      <c r="P80" s="4"/>
      <c r="Q80" s="4"/>
      <c r="R80" s="4"/>
      <c r="S80" s="4"/>
      <c r="T80" s="4"/>
      <c r="U80" s="4"/>
      <c r="V80" s="4"/>
    </row>
    <row r="81" spans="1:22" ht="19.5" customHeight="1">
      <c r="A81" s="4"/>
      <c r="B81" s="4"/>
      <c r="C81" s="160"/>
      <c r="D81" s="161"/>
      <c r="E81" s="213" t="s">
        <v>7</v>
      </c>
      <c r="F81" s="4"/>
      <c r="G81" s="4"/>
      <c r="H81" s="4"/>
      <c r="I81" s="4"/>
      <c r="J81" s="4"/>
      <c r="K81" s="4"/>
      <c r="L81" s="4"/>
      <c r="M81" s="4"/>
      <c r="N81" s="4"/>
      <c r="O81" s="4"/>
      <c r="P81" s="4"/>
      <c r="Q81" s="4"/>
      <c r="R81" s="4"/>
      <c r="S81" s="4"/>
      <c r="T81" s="4"/>
      <c r="U81" s="4"/>
      <c r="V81" s="4"/>
    </row>
    <row r="82" spans="1:22" ht="19.5" customHeight="1">
      <c r="A82" s="4"/>
      <c r="B82" s="4"/>
      <c r="C82" s="160"/>
      <c r="D82" s="161"/>
      <c r="E82" s="213" t="s">
        <v>7</v>
      </c>
      <c r="F82" s="4"/>
      <c r="G82" s="4"/>
      <c r="H82" s="4"/>
      <c r="I82" s="4"/>
      <c r="J82" s="4"/>
      <c r="K82" s="4"/>
      <c r="L82" s="4"/>
      <c r="M82" s="4"/>
      <c r="N82" s="4"/>
      <c r="O82" s="4"/>
      <c r="P82" s="4"/>
      <c r="Q82" s="4"/>
      <c r="R82" s="4"/>
      <c r="S82" s="4"/>
      <c r="T82" s="4"/>
      <c r="U82" s="4"/>
      <c r="V82" s="4"/>
    </row>
    <row r="83" spans="1:22" ht="19.5" customHeight="1">
      <c r="A83" s="4"/>
      <c r="B83" s="4"/>
      <c r="C83" s="160"/>
      <c r="D83" s="161"/>
      <c r="E83" s="213" t="s">
        <v>7</v>
      </c>
      <c r="F83" s="4"/>
      <c r="G83" s="4"/>
      <c r="H83" s="4"/>
      <c r="I83" s="4"/>
      <c r="J83" s="4"/>
      <c r="K83" s="4"/>
      <c r="L83" s="4"/>
      <c r="M83" s="4"/>
      <c r="N83" s="4"/>
      <c r="O83" s="4"/>
      <c r="P83" s="4"/>
      <c r="Q83" s="4"/>
      <c r="R83" s="4"/>
      <c r="S83" s="4"/>
      <c r="T83" s="4"/>
      <c r="U83" s="4"/>
      <c r="V83" s="4"/>
    </row>
    <row r="84" spans="1:22" ht="19.5" customHeight="1">
      <c r="A84" s="4"/>
      <c r="B84" s="4"/>
      <c r="C84" s="160"/>
      <c r="D84" s="161"/>
      <c r="E84" s="213" t="s">
        <v>7</v>
      </c>
      <c r="F84" s="4"/>
      <c r="G84" s="4"/>
      <c r="H84" s="4"/>
      <c r="I84" s="4"/>
      <c r="J84" s="4"/>
      <c r="K84" s="4"/>
      <c r="L84" s="4"/>
      <c r="M84" s="4"/>
      <c r="N84" s="4"/>
      <c r="O84" s="4"/>
      <c r="P84" s="4"/>
      <c r="Q84" s="4"/>
      <c r="R84" s="4"/>
      <c r="S84" s="4"/>
      <c r="T84" s="4"/>
      <c r="U84" s="4"/>
      <c r="V84" s="4"/>
    </row>
    <row r="85" spans="1:22" ht="19.5" customHeight="1">
      <c r="A85" s="4"/>
      <c r="B85" s="4"/>
      <c r="C85" s="160"/>
      <c r="D85" s="161"/>
      <c r="E85" s="213" t="s">
        <v>7</v>
      </c>
      <c r="F85" s="4"/>
      <c r="G85" s="4"/>
      <c r="H85" s="4"/>
      <c r="I85" s="4"/>
      <c r="J85" s="4"/>
      <c r="K85" s="4"/>
      <c r="L85" s="4"/>
      <c r="M85" s="4"/>
      <c r="N85" s="4"/>
      <c r="O85" s="4"/>
      <c r="P85" s="4"/>
      <c r="Q85" s="4"/>
      <c r="R85" s="4"/>
      <c r="S85" s="4"/>
      <c r="T85" s="4"/>
      <c r="U85" s="4"/>
      <c r="V85" s="4"/>
    </row>
    <row r="86" spans="1:22" ht="19.5" customHeight="1">
      <c r="A86" s="4"/>
      <c r="B86" s="4"/>
      <c r="C86" s="160"/>
      <c r="D86" s="161"/>
      <c r="E86" s="213" t="s">
        <v>7</v>
      </c>
      <c r="F86" s="4"/>
      <c r="G86" s="4"/>
      <c r="H86" s="4"/>
      <c r="I86" s="4"/>
      <c r="J86" s="4"/>
      <c r="K86" s="4"/>
      <c r="L86" s="4"/>
      <c r="M86" s="4"/>
      <c r="N86" s="4"/>
      <c r="O86" s="4"/>
      <c r="P86" s="4"/>
      <c r="Q86" s="4"/>
      <c r="R86" s="4"/>
      <c r="S86" s="4"/>
      <c r="T86" s="4"/>
      <c r="U86" s="4"/>
      <c r="V86" s="4"/>
    </row>
    <row r="87" spans="1:22" ht="19.5" customHeight="1">
      <c r="A87" s="4"/>
      <c r="B87" s="4"/>
      <c r="C87" s="160"/>
      <c r="D87" s="161"/>
      <c r="E87" s="213" t="s">
        <v>7</v>
      </c>
      <c r="F87" s="4"/>
      <c r="G87" s="4"/>
      <c r="H87" s="4"/>
      <c r="I87" s="4"/>
      <c r="J87" s="4"/>
      <c r="K87" s="4"/>
      <c r="L87" s="4"/>
      <c r="M87" s="4"/>
      <c r="N87" s="4"/>
      <c r="O87" s="4"/>
      <c r="P87" s="4"/>
      <c r="Q87" s="4"/>
      <c r="R87" s="4"/>
      <c r="S87" s="4"/>
      <c r="T87" s="4"/>
      <c r="U87" s="4"/>
      <c r="V87" s="4"/>
    </row>
    <row r="88" spans="1:22" ht="19.5" customHeight="1">
      <c r="A88" s="4"/>
      <c r="B88" s="4"/>
      <c r="C88" s="160"/>
      <c r="D88" s="161"/>
      <c r="E88" s="213" t="s">
        <v>7</v>
      </c>
      <c r="F88" s="4"/>
      <c r="G88" s="4"/>
      <c r="H88" s="4"/>
      <c r="I88" s="4"/>
      <c r="J88" s="4"/>
      <c r="K88" s="4"/>
      <c r="L88" s="4"/>
      <c r="M88" s="4"/>
      <c r="N88" s="4"/>
      <c r="O88" s="4"/>
      <c r="P88" s="4"/>
      <c r="Q88" s="4"/>
      <c r="R88" s="4"/>
      <c r="S88" s="4"/>
      <c r="T88" s="4"/>
      <c r="U88" s="4"/>
      <c r="V88" s="4"/>
    </row>
    <row r="89" spans="1:22" ht="19.5" customHeight="1">
      <c r="A89" s="4"/>
      <c r="B89" s="4"/>
      <c r="C89" s="160"/>
      <c r="D89" s="161"/>
      <c r="E89" s="213" t="s">
        <v>7</v>
      </c>
      <c r="F89" s="4"/>
      <c r="G89" s="4"/>
      <c r="H89" s="4"/>
      <c r="I89" s="4"/>
      <c r="J89" s="4"/>
      <c r="K89" s="4"/>
      <c r="L89" s="4"/>
      <c r="M89" s="4"/>
      <c r="N89" s="4"/>
      <c r="O89" s="4"/>
      <c r="P89" s="4"/>
      <c r="Q89" s="4"/>
      <c r="R89" s="4"/>
      <c r="S89" s="4"/>
      <c r="T89" s="4"/>
      <c r="U89" s="4"/>
      <c r="V89" s="4"/>
    </row>
  </sheetData>
  <sheetProtection sheet="1" objects="1" scenarios="1"/>
  <mergeCells count="24">
    <mergeCell ref="A20:B20"/>
    <mergeCell ref="B71:D71"/>
    <mergeCell ref="B72:D72"/>
    <mergeCell ref="J5:J7"/>
    <mergeCell ref="A19:B19"/>
    <mergeCell ref="B14:C14"/>
    <mergeCell ref="A18:B18"/>
    <mergeCell ref="I36:K37"/>
    <mergeCell ref="B4:I4"/>
    <mergeCell ref="B13:C13"/>
    <mergeCell ref="B11:C11"/>
    <mergeCell ref="B12:C12"/>
    <mergeCell ref="B10:C10"/>
    <mergeCell ref="B9:C9"/>
    <mergeCell ref="B8:G8"/>
    <mergeCell ref="B73:D73"/>
    <mergeCell ref="B69:D69"/>
    <mergeCell ref="B70:D70"/>
    <mergeCell ref="B79:D79"/>
    <mergeCell ref="B75:D75"/>
    <mergeCell ref="B74:D74"/>
    <mergeCell ref="B76:D76"/>
    <mergeCell ref="B77:D77"/>
    <mergeCell ref="B78:D78"/>
  </mergeCells>
  <printOptions/>
  <pageMargins left="0.75" right="0.75" top="1" bottom="1" header="0.5" footer="0.5"/>
  <pageSetup orientation="portrait" paperSize="9"/>
  <headerFooter alignWithMargins="0">
    <oddHeader>&amp;C&amp;A</oddHeader>
    <oddFooter>&amp;C- &amp;P -</oddFooter>
  </headerFooter>
</worksheet>
</file>

<file path=xl/worksheets/sheet3.xml><?xml version="1.0" encoding="utf-8"?>
<worksheet xmlns="http://schemas.openxmlformats.org/spreadsheetml/2006/main" xmlns:r="http://schemas.openxmlformats.org/officeDocument/2006/relationships">
  <dimension ref="A1:Z165"/>
  <sheetViews>
    <sheetView showZeros="0" workbookViewId="0" topLeftCell="A1">
      <selection activeCell="C54" sqref="C54"/>
    </sheetView>
  </sheetViews>
  <sheetFormatPr defaultColWidth="8.796875" defaultRowHeight="15"/>
  <cols>
    <col min="1" max="8" width="12.59765625" style="218" customWidth="1"/>
    <col min="9" max="9" width="10.59765625" style="218" customWidth="1"/>
    <col min="10" max="15" width="11" style="218" customWidth="1"/>
    <col min="16" max="26" width="11" style="217" customWidth="1"/>
    <col min="27" max="16384" width="11" style="218" customWidth="1"/>
  </cols>
  <sheetData>
    <row r="1" spans="1:15" ht="19.5" customHeight="1" thickBot="1">
      <c r="A1" s="214" t="s">
        <v>512</v>
      </c>
      <c r="B1" s="215" t="s">
        <v>513</v>
      </c>
      <c r="C1" s="216">
        <f>IF(G11=0," 注意．使用しない数値欄は「０」を入力のこと。空白の入力は不可。ただし、備考欄はスペース入力である。",0)</f>
        <v>0</v>
      </c>
      <c r="D1" s="159"/>
      <c r="E1" s="159"/>
      <c r="F1" s="159"/>
      <c r="G1" s="159"/>
      <c r="H1" s="159"/>
      <c r="I1" s="159"/>
      <c r="J1" s="159"/>
      <c r="K1" s="159"/>
      <c r="L1" s="159"/>
      <c r="M1" s="159"/>
      <c r="N1" s="159"/>
      <c r="O1" s="159"/>
    </row>
    <row r="2" spans="1:15" ht="19.5" customHeight="1" thickBot="1">
      <c r="A2" s="219" t="s">
        <v>514</v>
      </c>
      <c r="B2" s="1"/>
      <c r="C2" s="161">
        <f>IF(G11=0," 注意．不用意にセル削除を行わないで下さい、幾つか非表示セルがあります。",0)</f>
        <v>0</v>
      </c>
      <c r="D2" s="1"/>
      <c r="E2" s="1"/>
      <c r="F2" s="1"/>
      <c r="G2" s="159"/>
      <c r="H2" s="159"/>
      <c r="I2" s="159"/>
      <c r="J2" s="159"/>
      <c r="K2" s="159"/>
      <c r="L2" s="159"/>
      <c r="M2" s="159"/>
      <c r="N2" s="159"/>
      <c r="O2" s="159"/>
    </row>
    <row r="3" spans="1:15" ht="19.5" customHeight="1">
      <c r="A3" s="220" t="s">
        <v>515</v>
      </c>
      <c r="B3" s="221" t="s">
        <v>648</v>
      </c>
      <c r="C3" s="221" t="s">
        <v>649</v>
      </c>
      <c r="D3" s="221" t="s">
        <v>653</v>
      </c>
      <c r="E3" s="221" t="s">
        <v>783</v>
      </c>
      <c r="F3" s="221" t="s">
        <v>784</v>
      </c>
      <c r="G3" s="222" t="s">
        <v>785</v>
      </c>
      <c r="H3" s="958" t="str">
        <f>N3</f>
        <v>左の端数調整桁は標準価格についてのみです。評価総額についての端数調整桁指定は、このシートの末尾、セルＦ100からＨ100で行います。　　しかし、通常は変更する必要はありません。調整桁変更の必要は、評価額が１万円未満の場合だけです。</v>
      </c>
      <c r="I3" s="958"/>
      <c r="J3" s="223"/>
      <c r="K3" s="159"/>
      <c r="L3" s="159"/>
      <c r="M3" s="159"/>
      <c r="N3" s="224" t="str">
        <f>IF(G11=0,0,"左の端数調整桁は標準価格についてのみです。評価総額についての端数調整桁指定は、このシートの末尾、セルＦ100からＨ100で行います。　　しかし、通常は変更する必要はありません。調整桁変更の必要は、評価額が１万円未満の場合だけです。")</f>
        <v>左の端数調整桁は標準価格についてのみです。評価総額についての端数調整桁指定は、このシートの末尾、セルＦ100からＨ100で行います。　　しかし、通常は変更する必要はありません。調整桁変更の必要は、評価額が１万円未満の場合だけです。</v>
      </c>
      <c r="O3" s="159"/>
    </row>
    <row r="4" spans="1:15" ht="19.5" customHeight="1">
      <c r="A4" s="225" t="str">
        <f>'基礎'!A23</f>
        <v>岐阜ー１０</v>
      </c>
      <c r="B4" s="226">
        <f>'基礎'!E23</f>
        <v>250000</v>
      </c>
      <c r="C4" s="227">
        <v>1</v>
      </c>
      <c r="D4" s="228">
        <f>G6</f>
        <v>1</v>
      </c>
      <c r="E4" s="228">
        <f>G8</f>
        <v>1</v>
      </c>
      <c r="F4" s="226">
        <f>ROUNDDOWN(B4*C4/D4/E4,G4)</f>
        <v>250000</v>
      </c>
      <c r="G4" s="229">
        <v>-2</v>
      </c>
      <c r="H4" s="958"/>
      <c r="I4" s="958"/>
      <c r="J4" s="223"/>
      <c r="K4" s="159"/>
      <c r="L4" s="159"/>
      <c r="M4" s="159"/>
      <c r="N4" s="159"/>
      <c r="O4" s="159"/>
    </row>
    <row r="5" spans="1:15" ht="19.5" customHeight="1">
      <c r="A5" s="230" t="s">
        <v>252</v>
      </c>
      <c r="B5" s="231" t="s">
        <v>191</v>
      </c>
      <c r="C5" s="232" t="s">
        <v>85</v>
      </c>
      <c r="D5" s="232" t="s">
        <v>254</v>
      </c>
      <c r="E5" s="232" t="s">
        <v>82</v>
      </c>
      <c r="F5" s="233" t="s">
        <v>11</v>
      </c>
      <c r="G5" s="166" t="s">
        <v>253</v>
      </c>
      <c r="H5" s="958"/>
      <c r="I5" s="958"/>
      <c r="J5" s="223"/>
      <c r="K5" s="159"/>
      <c r="L5" s="159"/>
      <c r="M5" s="159"/>
      <c r="N5" s="159"/>
      <c r="O5" s="159"/>
    </row>
    <row r="6" spans="1:15" ht="19.5" customHeight="1">
      <c r="A6" s="234"/>
      <c r="B6" s="235" t="s">
        <v>192</v>
      </c>
      <c r="C6" s="236">
        <v>0</v>
      </c>
      <c r="D6" s="236">
        <v>0</v>
      </c>
      <c r="E6" s="236">
        <v>0</v>
      </c>
      <c r="F6" s="237">
        <v>0</v>
      </c>
      <c r="G6" s="238">
        <f>ROUND((1+C6)*(1+D6)*(1+E6)*(1+F6),3)</f>
        <v>1</v>
      </c>
      <c r="H6" s="958"/>
      <c r="I6" s="958"/>
      <c r="J6" s="223"/>
      <c r="K6" s="159"/>
      <c r="L6" s="159"/>
      <c r="M6" s="159"/>
      <c r="N6" s="159"/>
      <c r="O6" s="159"/>
    </row>
    <row r="7" spans="1:15" ht="19.5" customHeight="1">
      <c r="A7" s="230" t="s">
        <v>261</v>
      </c>
      <c r="B7" s="231" t="s">
        <v>191</v>
      </c>
      <c r="C7" s="232" t="s">
        <v>254</v>
      </c>
      <c r="D7" s="232" t="s">
        <v>82</v>
      </c>
      <c r="E7" s="232" t="s">
        <v>80</v>
      </c>
      <c r="F7" s="233" t="s">
        <v>84</v>
      </c>
      <c r="G7" s="166" t="s">
        <v>253</v>
      </c>
      <c r="H7" s="958"/>
      <c r="I7" s="958"/>
      <c r="J7" s="223"/>
      <c r="K7" s="159"/>
      <c r="L7" s="159"/>
      <c r="M7" s="159"/>
      <c r="N7" s="159"/>
      <c r="O7" s="159"/>
    </row>
    <row r="8" spans="1:15" ht="19.5" customHeight="1">
      <c r="A8" s="234"/>
      <c r="B8" s="235" t="s">
        <v>192</v>
      </c>
      <c r="C8" s="236">
        <v>0</v>
      </c>
      <c r="D8" s="236">
        <v>0</v>
      </c>
      <c r="E8" s="236">
        <v>0</v>
      </c>
      <c r="F8" s="237">
        <v>0</v>
      </c>
      <c r="G8" s="238">
        <f>ROUND((1+C8)*(1+D8)*(1+E8)*(1+F8),3)</f>
        <v>1</v>
      </c>
      <c r="H8" s="958"/>
      <c r="I8" s="958"/>
      <c r="J8" s="223"/>
      <c r="K8" s="159"/>
      <c r="L8" s="159"/>
      <c r="M8" s="159"/>
      <c r="N8" s="159"/>
      <c r="O8" s="159"/>
    </row>
    <row r="9" spans="1:15" ht="19.5" customHeight="1">
      <c r="A9" s="239"/>
      <c r="B9" s="240" t="str">
        <f>IF(G10=0,"※標準価格＝ａ公示価格×ｂ時点修正÷ｃ標準化補正÷ｄ地域格差(評価対象近隣＝100)",0)</f>
        <v>※標準価格＝ａ公示価格×ｂ時点修正÷ｃ標準化補正÷ｄ地域格差(評価対象近隣＝100)</v>
      </c>
      <c r="C9" s="241"/>
      <c r="D9" s="241"/>
      <c r="E9" s="241"/>
      <c r="F9" s="240"/>
      <c r="G9" s="216"/>
      <c r="H9" s="223"/>
      <c r="I9" s="223"/>
      <c r="J9" s="223"/>
      <c r="K9" s="159"/>
      <c r="L9" s="159"/>
      <c r="M9" s="159"/>
      <c r="N9" s="159"/>
      <c r="O9" s="159"/>
    </row>
    <row r="10" spans="1:15" ht="19.5" customHeight="1">
      <c r="A10" s="239"/>
      <c r="B10" s="242" t="s">
        <v>150</v>
      </c>
      <c r="C10" s="242"/>
      <c r="D10" s="241"/>
      <c r="E10" s="241"/>
      <c r="F10" s="240"/>
      <c r="G10" s="216"/>
      <c r="H10" s="223"/>
      <c r="I10" s="223"/>
      <c r="J10" s="223"/>
      <c r="K10" s="159"/>
      <c r="L10" s="159"/>
      <c r="M10" s="159"/>
      <c r="N10" s="159"/>
      <c r="O10" s="159"/>
    </row>
    <row r="11" spans="1:15" ht="19.5" customHeight="1">
      <c r="A11" s="239" t="s">
        <v>655</v>
      </c>
      <c r="B11" s="240"/>
      <c r="C11" s="241"/>
      <c r="D11" s="241"/>
      <c r="E11" s="241"/>
      <c r="F11" s="243">
        <f>IF(C4&lt;0.94,"注の表示",0)</f>
        <v>0</v>
      </c>
      <c r="G11" s="244">
        <v>1</v>
      </c>
      <c r="H11" s="223"/>
      <c r="I11" s="223"/>
      <c r="J11" s="223"/>
      <c r="K11" s="159"/>
      <c r="L11" s="159"/>
      <c r="M11" s="159"/>
      <c r="N11" s="159"/>
      <c r="O11" s="159"/>
    </row>
    <row r="12" spans="1:15" ht="19.5" customHeight="1">
      <c r="A12" s="843" t="s">
        <v>656</v>
      </c>
      <c r="B12" s="843"/>
      <c r="C12" s="843" t="s">
        <v>798</v>
      </c>
      <c r="D12" s="843"/>
      <c r="E12" s="157" t="s">
        <v>803</v>
      </c>
      <c r="F12" s="940" t="s">
        <v>799</v>
      </c>
      <c r="G12" s="941"/>
      <c r="H12" s="968" t="str">
        <f>N15</f>
        <v>評価物件が土地のみの場合に資材置き場等の占有がある場合は、占有補正現価率で対応します。しかし、建物の他に占有がある場合は対応していません。そのような場合には、件外建物の代わりにダミーとして「資材置場」などと入力し、該当面積を床面積の代わりに入力してください。この場合に及ぶ範囲は全体面積を比例配分して算定しますから、当初入力面積を注意してください。</v>
      </c>
      <c r="I12" s="969"/>
      <c r="J12" s="969"/>
      <c r="K12" s="159"/>
      <c r="L12" s="159"/>
      <c r="M12" s="159"/>
      <c r="N12" s="159"/>
      <c r="O12" s="159"/>
    </row>
    <row r="13" spans="1:15" ht="19.5" customHeight="1">
      <c r="A13" s="929">
        <v>0.5</v>
      </c>
      <c r="B13" s="929"/>
      <c r="C13" s="245">
        <v>0</v>
      </c>
      <c r="D13" s="246" t="s">
        <v>800</v>
      </c>
      <c r="E13" s="247">
        <f>A13*0</f>
        <v>0</v>
      </c>
      <c r="F13" s="937" t="str">
        <f>VLOOKUP('基礎'!E3,物件の種類コード表,2)</f>
        <v>戸建</v>
      </c>
      <c r="G13" s="938"/>
      <c r="H13" s="968"/>
      <c r="I13" s="969"/>
      <c r="J13" s="969"/>
      <c r="K13" s="159"/>
      <c r="L13" s="159"/>
      <c r="M13" s="159"/>
      <c r="N13" s="159"/>
      <c r="O13" s="159"/>
    </row>
    <row r="14" spans="1:15" ht="19.5" customHeight="1">
      <c r="A14" s="939" t="s">
        <v>490</v>
      </c>
      <c r="B14" s="939"/>
      <c r="C14" s="245">
        <v>1</v>
      </c>
      <c r="D14" s="246" t="s">
        <v>801</v>
      </c>
      <c r="E14" s="248">
        <f>A13*1.1</f>
        <v>0.55</v>
      </c>
      <c r="F14" s="942" t="s">
        <v>922</v>
      </c>
      <c r="G14" s="943"/>
      <c r="H14" s="968"/>
      <c r="I14" s="969"/>
      <c r="J14" s="969"/>
      <c r="K14" s="159"/>
      <c r="L14" s="159"/>
      <c r="M14" s="159"/>
      <c r="N14" s="159"/>
      <c r="O14" s="159"/>
    </row>
    <row r="15" spans="1:15" ht="19.5" customHeight="1">
      <c r="A15" s="929">
        <v>1</v>
      </c>
      <c r="B15" s="929"/>
      <c r="C15" s="245">
        <v>2</v>
      </c>
      <c r="D15" s="246" t="s">
        <v>923</v>
      </c>
      <c r="E15" s="248">
        <f>A13</f>
        <v>0.5</v>
      </c>
      <c r="F15" s="927" t="str">
        <f>IF('基礎'!E5=1,"件外物件あり","件外物件なし")</f>
        <v>件外物件なし</v>
      </c>
      <c r="G15" s="928"/>
      <c r="H15" s="968"/>
      <c r="I15" s="969"/>
      <c r="J15" s="969"/>
      <c r="K15" s="159"/>
      <c r="L15" s="159"/>
      <c r="M15" s="159"/>
      <c r="N15" s="249" t="str">
        <f>IF(G11=0,0,"評価物件が土地のみの場合に資材置き場等の占有がある場合は、占有補正現価率で対応します。しかし、建物の他に占有がある場合は対応していません。そのような場合には、件外建物の代わりにダミーとして「資材置場」などと入力し、該当面積を床面積の代わりに入力してください。この場合に及ぶ範囲は全体面積を比例配分して算定しますから、当初入力面積を注意してください。")</f>
        <v>評価物件が土地のみの場合に資材置き場等の占有がある場合は、占有補正現価率で対応します。しかし、建物の他に占有がある場合は対応していません。そのような場合には、件外建物の代わりにダミーとして「資材置場」などと入力し、該当面積を床面積の代わりに入力してください。この場合に及ぶ範囲は全体面積を比例配分して算定しますから、当初入力面積を注意してください。</v>
      </c>
      <c r="O15" s="159"/>
    </row>
    <row r="16" spans="1:15" ht="19.5" customHeight="1">
      <c r="A16" s="931" t="s">
        <v>675</v>
      </c>
      <c r="B16" s="932"/>
      <c r="C16" s="245">
        <v>3</v>
      </c>
      <c r="D16" s="246" t="s">
        <v>924</v>
      </c>
      <c r="E16" s="238">
        <f>A13*0.4</f>
        <v>0.2</v>
      </c>
      <c r="F16" s="850" t="s">
        <v>802</v>
      </c>
      <c r="G16" s="850"/>
      <c r="H16" s="968"/>
      <c r="I16" s="969"/>
      <c r="J16" s="969"/>
      <c r="K16" s="159"/>
      <c r="L16" s="159"/>
      <c r="M16" s="159"/>
      <c r="N16" s="159"/>
      <c r="O16" s="159"/>
    </row>
    <row r="17" spans="1:15" ht="19.5" customHeight="1">
      <c r="A17" s="933"/>
      <c r="B17" s="934"/>
      <c r="C17" s="245">
        <v>4</v>
      </c>
      <c r="D17" s="246" t="s">
        <v>57</v>
      </c>
      <c r="E17" s="238">
        <v>0.1</v>
      </c>
      <c r="F17" s="930">
        <f>SUM(C32:L32)</f>
        <v>100</v>
      </c>
      <c r="G17" s="930"/>
      <c r="H17" s="968"/>
      <c r="I17" s="969"/>
      <c r="J17" s="969"/>
      <c r="K17" s="159"/>
      <c r="L17" s="159"/>
      <c r="M17" s="159"/>
      <c r="N17" s="159"/>
      <c r="O17" s="159"/>
    </row>
    <row r="18" spans="1:15" ht="19.5" customHeight="1">
      <c r="A18" s="935"/>
      <c r="B18" s="936"/>
      <c r="C18" s="245">
        <v>5</v>
      </c>
      <c r="D18" s="250" t="s">
        <v>925</v>
      </c>
      <c r="E18" s="251">
        <f>B127</f>
        <v>0</v>
      </c>
      <c r="F18" s="252"/>
      <c r="G18" s="253"/>
      <c r="H18" s="968"/>
      <c r="I18" s="969"/>
      <c r="J18" s="969"/>
      <c r="K18" s="159"/>
      <c r="L18" s="159"/>
      <c r="M18" s="159"/>
      <c r="N18" s="159"/>
      <c r="O18" s="159"/>
    </row>
    <row r="19" spans="1:15" ht="19.5" customHeight="1">
      <c r="A19" s="195" t="str">
        <f>IF(G10=0,"※権利査定割合は判定の上で入力する。※底地の建付地補正は自己判断に委ねる。",0)</f>
        <v>※権利査定割合は判定の上で入力する。※底地の建付地補正は自己判断に委ねる。</v>
      </c>
      <c r="B19" s="254"/>
      <c r="C19" s="255"/>
      <c r="D19" s="256"/>
      <c r="E19" s="257"/>
      <c r="F19" s="161">
        <f>IF(G11=0,"※非対象画地は一括評価に加算しません。",0)</f>
        <v>0</v>
      </c>
      <c r="G19" s="159"/>
      <c r="H19" s="159"/>
      <c r="I19" s="258"/>
      <c r="J19" s="159"/>
      <c r="K19" s="159"/>
      <c r="L19" s="159"/>
      <c r="M19" s="159"/>
      <c r="N19" s="159"/>
      <c r="O19" s="159"/>
    </row>
    <row r="20" spans="1:15" ht="19.5" customHeight="1">
      <c r="A20" s="195" t="str">
        <f>IF(G11=1,"※権利の錯綜＝建物により、敷地利用権が異なる場合。底地が負担とする権利の態様は「権利の錯綜」とする。",0)</f>
        <v>※権利の錯綜＝建物により、敷地利用権が異なる場合。底地が負担とする権利の態様は「権利の錯綜」とする。</v>
      </c>
      <c r="B20" s="254"/>
      <c r="C20" s="255"/>
      <c r="D20" s="256"/>
      <c r="E20" s="257"/>
      <c r="F20" s="159"/>
      <c r="G20" s="159"/>
      <c r="H20" s="159"/>
      <c r="I20" s="258"/>
      <c r="J20" s="159"/>
      <c r="K20" s="159"/>
      <c r="L20" s="159"/>
      <c r="M20" s="159"/>
      <c r="N20" s="159"/>
      <c r="O20" s="159"/>
    </row>
    <row r="21" spans="1:15" ht="19.5" customHeight="1">
      <c r="A21" s="241" t="str">
        <f>IF(G11=1,"※錯綜の場合の、底地等割合はＢ５８以下の敷地範囲で自動計算する。",0)</f>
        <v>※錯綜の場合の、底地等割合はＢ５８以下の敷地範囲で自動計算する。</v>
      </c>
      <c r="B21" s="241"/>
      <c r="C21" s="255"/>
      <c r="D21" s="256"/>
      <c r="E21" s="259"/>
      <c r="F21" s="159"/>
      <c r="G21" s="159"/>
      <c r="H21" s="159"/>
      <c r="I21" s="258"/>
      <c r="J21" s="159"/>
      <c r="K21" s="159"/>
      <c r="L21" s="159"/>
      <c r="M21" s="159"/>
      <c r="N21" s="159"/>
      <c r="O21" s="159"/>
    </row>
    <row r="22" spans="1:15" ht="19.5" customHeight="1" thickBot="1">
      <c r="A22" s="195" t="s">
        <v>804</v>
      </c>
      <c r="B22" s="260"/>
      <c r="C22" s="216"/>
      <c r="D22" s="216"/>
      <c r="E22" s="216"/>
      <c r="F22" s="216"/>
      <c r="G22" s="216"/>
      <c r="H22" s="159"/>
      <c r="I22" s="159"/>
      <c r="J22" s="159"/>
      <c r="K22" s="159"/>
      <c r="L22" s="159"/>
      <c r="M22" s="159"/>
      <c r="N22" s="159"/>
      <c r="O22" s="159"/>
    </row>
    <row r="23" spans="1:15" ht="19.5" customHeight="1" thickTop="1">
      <c r="A23" s="261" t="s">
        <v>805</v>
      </c>
      <c r="B23" s="262">
        <f>'基礎'!G29</f>
        <v>1</v>
      </c>
      <c r="C23" s="262" t="str">
        <f>'基礎'!B31</f>
        <v>1</v>
      </c>
      <c r="D23" s="262">
        <f>'基礎'!C31</f>
        <v>0</v>
      </c>
      <c r="E23" s="263">
        <f>'基礎'!D31</f>
        <v>0</v>
      </c>
      <c r="F23" s="263">
        <f>'基礎'!E31</f>
        <v>0</v>
      </c>
      <c r="G23" s="263">
        <f>'基礎'!F31</f>
        <v>0</v>
      </c>
      <c r="H23" s="263">
        <f>'基礎'!G31</f>
        <v>0</v>
      </c>
      <c r="I23" s="263">
        <f>'基礎'!H31</f>
        <v>0</v>
      </c>
      <c r="J23" s="263">
        <f>'基礎'!I31</f>
        <v>0</v>
      </c>
      <c r="K23" s="263">
        <f>'基礎'!J31</f>
        <v>0</v>
      </c>
      <c r="L23" s="263">
        <f>'基礎'!K31</f>
        <v>0</v>
      </c>
      <c r="M23" s="159"/>
      <c r="N23" s="159"/>
      <c r="O23" s="159"/>
    </row>
    <row r="24" spans="1:15" ht="19.5" customHeight="1">
      <c r="A24" s="264" t="s">
        <v>810</v>
      </c>
      <c r="B24" s="265"/>
      <c r="C24" s="145" t="str">
        <f>IF('基礎'!B37=0,"対象","件外")</f>
        <v>対象</v>
      </c>
      <c r="D24" s="145" t="str">
        <f>IF('基礎'!C37=0,"対象","件外")</f>
        <v>対象</v>
      </c>
      <c r="E24" s="145" t="str">
        <f>IF('基礎'!D37=0,"対象","件外")</f>
        <v>対象</v>
      </c>
      <c r="F24" s="145" t="str">
        <f>IF('基礎'!E37=0,"対象","件外")</f>
        <v>対象</v>
      </c>
      <c r="G24" s="145" t="str">
        <f>IF('基礎'!F37=0,"対象","件外")</f>
        <v>対象</v>
      </c>
      <c r="H24" s="145" t="str">
        <f>IF('基礎'!G37=0,"対象","件外")</f>
        <v>対象</v>
      </c>
      <c r="I24" s="145" t="str">
        <f>IF('基礎'!H37=0,"対象","件外")</f>
        <v>対象</v>
      </c>
      <c r="J24" s="145" t="str">
        <f>IF('基礎'!I37=0,"対象","件外")</f>
        <v>対象</v>
      </c>
      <c r="K24" s="145" t="str">
        <f>IF('基礎'!J37=0,"対象","件外")</f>
        <v>対象</v>
      </c>
      <c r="L24" s="145" t="str">
        <f>IF('基礎'!K37=0,"対象","件外")</f>
        <v>対象</v>
      </c>
      <c r="M24" s="159"/>
      <c r="N24" s="159"/>
      <c r="O24" s="159"/>
    </row>
    <row r="25" spans="1:15" ht="19.5" customHeight="1">
      <c r="A25" s="264" t="s">
        <v>809</v>
      </c>
      <c r="B25" s="266">
        <f>標準価格</f>
        <v>250000</v>
      </c>
      <c r="C25" s="266">
        <f aca="true" t="shared" si="0" ref="C25:J25">IF(C32=0,0,標準価格)</f>
        <v>250000</v>
      </c>
      <c r="D25" s="266">
        <f t="shared" si="0"/>
        <v>0</v>
      </c>
      <c r="E25" s="266">
        <f t="shared" si="0"/>
        <v>0</v>
      </c>
      <c r="F25" s="266">
        <f t="shared" si="0"/>
        <v>0</v>
      </c>
      <c r="G25" s="266">
        <f t="shared" si="0"/>
        <v>0</v>
      </c>
      <c r="H25" s="266">
        <f t="shared" si="0"/>
        <v>0</v>
      </c>
      <c r="I25" s="266">
        <f t="shared" si="0"/>
        <v>0</v>
      </c>
      <c r="J25" s="266">
        <f t="shared" si="0"/>
        <v>0</v>
      </c>
      <c r="K25" s="266">
        <f>IF(K32=0,0,標準価格)</f>
        <v>0</v>
      </c>
      <c r="L25" s="266">
        <f>IF(L32=0,0,標準価格)</f>
        <v>0</v>
      </c>
      <c r="M25" s="159"/>
      <c r="N25" s="159"/>
      <c r="O25" s="159"/>
    </row>
    <row r="26" spans="1:15" ht="19.5" customHeight="1">
      <c r="A26" s="264" t="s">
        <v>933</v>
      </c>
      <c r="B26" s="267">
        <f>ROUNDDOWN((1+B27)*(1+B28)*(1+B29)*(1+B30),3)</f>
        <v>1</v>
      </c>
      <c r="C26" s="267">
        <f aca="true" t="shared" si="1" ref="C26:L26">ROUNDDOWN((1+C27)*(1+C28)*(1+C29)*(1+C30),3)</f>
        <v>1</v>
      </c>
      <c r="D26" s="267">
        <f t="shared" si="1"/>
        <v>1</v>
      </c>
      <c r="E26" s="267">
        <f t="shared" si="1"/>
        <v>1</v>
      </c>
      <c r="F26" s="267">
        <f t="shared" si="1"/>
        <v>1</v>
      </c>
      <c r="G26" s="267">
        <f t="shared" si="1"/>
        <v>1</v>
      </c>
      <c r="H26" s="267">
        <f t="shared" si="1"/>
        <v>1</v>
      </c>
      <c r="I26" s="267">
        <f t="shared" si="1"/>
        <v>1</v>
      </c>
      <c r="J26" s="267">
        <f t="shared" si="1"/>
        <v>1</v>
      </c>
      <c r="K26" s="267">
        <f t="shared" si="1"/>
        <v>1</v>
      </c>
      <c r="L26" s="267">
        <f t="shared" si="1"/>
        <v>1</v>
      </c>
      <c r="M26" s="159"/>
      <c r="N26" s="159"/>
      <c r="O26" s="159"/>
    </row>
    <row r="27" spans="1:15" ht="19.5" customHeight="1">
      <c r="A27" s="268" t="s">
        <v>936</v>
      </c>
      <c r="B27" s="269"/>
      <c r="C27" s="269"/>
      <c r="D27" s="269"/>
      <c r="E27" s="269"/>
      <c r="F27" s="269"/>
      <c r="G27" s="269"/>
      <c r="H27" s="269"/>
      <c r="I27" s="269"/>
      <c r="J27" s="269"/>
      <c r="K27" s="269"/>
      <c r="L27" s="269"/>
      <c r="M27" s="159"/>
      <c r="N27" s="159"/>
      <c r="O27" s="159"/>
    </row>
    <row r="28" spans="1:15" ht="19.5" customHeight="1">
      <c r="A28" s="268" t="s">
        <v>937</v>
      </c>
      <c r="B28" s="270"/>
      <c r="C28" s="270"/>
      <c r="D28" s="270"/>
      <c r="E28" s="270"/>
      <c r="F28" s="270"/>
      <c r="G28" s="270"/>
      <c r="H28" s="270"/>
      <c r="I28" s="270"/>
      <c r="J28" s="270"/>
      <c r="K28" s="270"/>
      <c r="L28" s="270"/>
      <c r="M28" s="159"/>
      <c r="N28" s="159"/>
      <c r="O28" s="159"/>
    </row>
    <row r="29" spans="1:15" ht="19.5" customHeight="1">
      <c r="A29" s="268" t="s">
        <v>938</v>
      </c>
      <c r="B29" s="270"/>
      <c r="C29" s="270"/>
      <c r="D29" s="270"/>
      <c r="E29" s="270"/>
      <c r="F29" s="270"/>
      <c r="G29" s="270"/>
      <c r="H29" s="270"/>
      <c r="I29" s="270"/>
      <c r="J29" s="270"/>
      <c r="K29" s="270"/>
      <c r="L29" s="270"/>
      <c r="M29" s="159"/>
      <c r="N29" s="159"/>
      <c r="O29" s="159"/>
    </row>
    <row r="30" spans="1:15" ht="19.5" customHeight="1">
      <c r="A30" s="268" t="s">
        <v>939</v>
      </c>
      <c r="B30" s="270"/>
      <c r="C30" s="270"/>
      <c r="D30" s="270"/>
      <c r="E30" s="270"/>
      <c r="F30" s="270"/>
      <c r="G30" s="270"/>
      <c r="H30" s="270"/>
      <c r="I30" s="270"/>
      <c r="J30" s="270"/>
      <c r="K30" s="270"/>
      <c r="L30" s="270"/>
      <c r="M30" s="159"/>
      <c r="N30" s="159"/>
      <c r="O30" s="159"/>
    </row>
    <row r="31" spans="1:15" ht="19.5" customHeight="1">
      <c r="A31" s="264" t="s">
        <v>676</v>
      </c>
      <c r="B31" s="231">
        <f>B25*B26</f>
        <v>250000</v>
      </c>
      <c r="C31" s="231">
        <f>C25*C26</f>
        <v>250000</v>
      </c>
      <c r="D31" s="231">
        <f aca="true" t="shared" si="2" ref="D31:L31">D25*D26</f>
        <v>0</v>
      </c>
      <c r="E31" s="231">
        <f t="shared" si="2"/>
        <v>0</v>
      </c>
      <c r="F31" s="231">
        <f t="shared" si="2"/>
        <v>0</v>
      </c>
      <c r="G31" s="231">
        <f t="shared" si="2"/>
        <v>0</v>
      </c>
      <c r="H31" s="231">
        <f t="shared" si="2"/>
        <v>0</v>
      </c>
      <c r="I31" s="231">
        <f t="shared" si="2"/>
        <v>0</v>
      </c>
      <c r="J31" s="231">
        <f t="shared" si="2"/>
        <v>0</v>
      </c>
      <c r="K31" s="231">
        <f t="shared" si="2"/>
        <v>0</v>
      </c>
      <c r="L31" s="231">
        <f t="shared" si="2"/>
        <v>0</v>
      </c>
      <c r="M31" s="159"/>
      <c r="N31" s="159"/>
      <c r="O31" s="159"/>
    </row>
    <row r="32" spans="1:15" ht="19.5" customHeight="1">
      <c r="A32" s="264" t="s">
        <v>546</v>
      </c>
      <c r="B32" s="271">
        <f>B161</f>
        <v>100</v>
      </c>
      <c r="C32" s="272">
        <f>'基礎'!B35</f>
        <v>100</v>
      </c>
      <c r="D32" s="272">
        <f>'基礎'!C35</f>
        <v>0</v>
      </c>
      <c r="E32" s="272">
        <f>'基礎'!D35</f>
        <v>0</v>
      </c>
      <c r="F32" s="272">
        <f>'基礎'!E35</f>
        <v>0</v>
      </c>
      <c r="G32" s="272">
        <f>'基礎'!F35</f>
        <v>0</v>
      </c>
      <c r="H32" s="272">
        <f>'基礎'!G35</f>
        <v>0</v>
      </c>
      <c r="I32" s="272">
        <f>'基礎'!H35</f>
        <v>0</v>
      </c>
      <c r="J32" s="272">
        <f>'基礎'!I35</f>
        <v>0</v>
      </c>
      <c r="K32" s="272">
        <f>'基礎'!J35</f>
        <v>0</v>
      </c>
      <c r="L32" s="272">
        <f>'基礎'!K35</f>
        <v>0</v>
      </c>
      <c r="M32" s="159"/>
      <c r="N32" s="159"/>
      <c r="O32" s="159"/>
    </row>
    <row r="33" spans="1:15" ht="19.5" customHeight="1">
      <c r="A33" s="264" t="s">
        <v>1024</v>
      </c>
      <c r="B33" s="237">
        <v>0.95</v>
      </c>
      <c r="C33" s="273">
        <f>B33</f>
        <v>0.95</v>
      </c>
      <c r="D33" s="273">
        <f aca="true" t="shared" si="3" ref="D33:L33">C33</f>
        <v>0.95</v>
      </c>
      <c r="E33" s="273">
        <f t="shared" si="3"/>
        <v>0.95</v>
      </c>
      <c r="F33" s="273">
        <f t="shared" si="3"/>
        <v>0.95</v>
      </c>
      <c r="G33" s="273">
        <f t="shared" si="3"/>
        <v>0.95</v>
      </c>
      <c r="H33" s="273">
        <f t="shared" si="3"/>
        <v>0.95</v>
      </c>
      <c r="I33" s="273">
        <f t="shared" si="3"/>
        <v>0.95</v>
      </c>
      <c r="J33" s="273">
        <f t="shared" si="3"/>
        <v>0.95</v>
      </c>
      <c r="K33" s="273">
        <f>J33</f>
        <v>0.95</v>
      </c>
      <c r="L33" s="273">
        <f t="shared" si="3"/>
        <v>0.95</v>
      </c>
      <c r="M33" s="159"/>
      <c r="N33" s="159"/>
      <c r="O33" s="159"/>
    </row>
    <row r="34" spans="1:15" ht="19.5" customHeight="1">
      <c r="A34" s="264" t="s">
        <v>547</v>
      </c>
      <c r="B34" s="231">
        <f>B31*B33*B161</f>
        <v>23750000</v>
      </c>
      <c r="C34" s="231">
        <f>C31*C32*C33</f>
        <v>23750000</v>
      </c>
      <c r="D34" s="231">
        <f aca="true" t="shared" si="4" ref="D34:L34">D31*D32*D33</f>
        <v>0</v>
      </c>
      <c r="E34" s="231">
        <f t="shared" si="4"/>
        <v>0</v>
      </c>
      <c r="F34" s="231">
        <f t="shared" si="4"/>
        <v>0</v>
      </c>
      <c r="G34" s="231">
        <f t="shared" si="4"/>
        <v>0</v>
      </c>
      <c r="H34" s="231">
        <f t="shared" si="4"/>
        <v>0</v>
      </c>
      <c r="I34" s="231">
        <f t="shared" si="4"/>
        <v>0</v>
      </c>
      <c r="J34" s="231">
        <f t="shared" si="4"/>
        <v>0</v>
      </c>
      <c r="K34" s="231">
        <f t="shared" si="4"/>
        <v>0</v>
      </c>
      <c r="L34" s="231">
        <f t="shared" si="4"/>
        <v>0</v>
      </c>
      <c r="M34" s="159"/>
      <c r="N34" s="159"/>
      <c r="O34" s="159"/>
    </row>
    <row r="35" spans="1:15" ht="19.5" customHeight="1">
      <c r="A35" s="264" t="s">
        <v>548</v>
      </c>
      <c r="B35" s="274">
        <v>1</v>
      </c>
      <c r="C35" s="275">
        <f>ROUND('基礎'!B40/'基礎'!B39,5)</f>
        <v>1</v>
      </c>
      <c r="D35" s="275">
        <f>ROUND('基礎'!C40/'基礎'!C39,5)</f>
        <v>1</v>
      </c>
      <c r="E35" s="275">
        <f>ROUND('基礎'!D40/'基礎'!D39,5)</f>
        <v>1</v>
      </c>
      <c r="F35" s="275">
        <f>ROUND('基礎'!E40/'基礎'!E39,5)</f>
        <v>1</v>
      </c>
      <c r="G35" s="275">
        <f>ROUND('基礎'!F40/'基礎'!F39,5)</f>
        <v>1</v>
      </c>
      <c r="H35" s="275">
        <f>ROUND('基礎'!G40/'基礎'!G39,5)</f>
        <v>1</v>
      </c>
      <c r="I35" s="275">
        <f>ROUND('基礎'!H40/'基礎'!H39,5)</f>
        <v>1</v>
      </c>
      <c r="J35" s="275">
        <f>ROUND('基礎'!I40/'基礎'!I39,5)</f>
        <v>1</v>
      </c>
      <c r="K35" s="275">
        <f>ROUND('基礎'!J40/'基礎'!J39,5)</f>
        <v>1</v>
      </c>
      <c r="L35" s="275">
        <f>ROUND('基礎'!K40/'基礎'!K39,5)</f>
        <v>1</v>
      </c>
      <c r="M35" s="159"/>
      <c r="N35" s="159"/>
      <c r="O35" s="159"/>
    </row>
    <row r="36" spans="1:15" ht="19.5" customHeight="1">
      <c r="A36" s="264" t="s">
        <v>549</v>
      </c>
      <c r="B36" s="270">
        <v>1</v>
      </c>
      <c r="C36" s="276">
        <f>IF(C32=0,0,B36)</f>
        <v>1</v>
      </c>
      <c r="D36" s="276">
        <f>IF(D32=0,0,B36)</f>
        <v>0</v>
      </c>
      <c r="E36" s="276">
        <f>IF(E32=0,0,B36)</f>
        <v>0</v>
      </c>
      <c r="F36" s="276">
        <f>IF(F32=0,0,B36)</f>
        <v>0</v>
      </c>
      <c r="G36" s="276">
        <f aca="true" t="shared" si="5" ref="G36:L36">IF(G32=0,0,B36)</f>
        <v>0</v>
      </c>
      <c r="H36" s="276">
        <f t="shared" si="5"/>
        <v>0</v>
      </c>
      <c r="I36" s="276">
        <f t="shared" si="5"/>
        <v>0</v>
      </c>
      <c r="J36" s="276">
        <f t="shared" si="5"/>
        <v>0</v>
      </c>
      <c r="K36" s="276">
        <f t="shared" si="5"/>
        <v>0</v>
      </c>
      <c r="L36" s="276">
        <f t="shared" si="5"/>
        <v>0</v>
      </c>
      <c r="M36" s="159"/>
      <c r="N36" s="159"/>
      <c r="O36" s="159"/>
    </row>
    <row r="37" spans="1:15" ht="19.5" customHeight="1">
      <c r="A37" s="277" t="s">
        <v>262</v>
      </c>
      <c r="B37" s="278">
        <f aca="true" t="shared" si="6" ref="B37:G37">ROUNDDOWN(B34*B35*B36,0)</f>
        <v>23750000</v>
      </c>
      <c r="C37" s="278">
        <f t="shared" si="6"/>
        <v>23750000</v>
      </c>
      <c r="D37" s="278">
        <f t="shared" si="6"/>
        <v>0</v>
      </c>
      <c r="E37" s="278">
        <f t="shared" si="6"/>
        <v>0</v>
      </c>
      <c r="F37" s="278">
        <f t="shared" si="6"/>
        <v>0</v>
      </c>
      <c r="G37" s="278">
        <f t="shared" si="6"/>
        <v>0</v>
      </c>
      <c r="H37" s="278">
        <f>ROUNDDOWN(H34*H35*H36,0)</f>
        <v>0</v>
      </c>
      <c r="I37" s="278">
        <f>ROUNDDOWN(I34*I35*I36,0)</f>
        <v>0</v>
      </c>
      <c r="J37" s="278">
        <f>ROUNDDOWN(J34*J35*J36,0)</f>
        <v>0</v>
      </c>
      <c r="K37" s="278">
        <f>ROUNDDOWN(K34*K35*K36,0)</f>
        <v>0</v>
      </c>
      <c r="L37" s="278">
        <f>ROUNDDOWN(L34*L35*L36,0)</f>
        <v>0</v>
      </c>
      <c r="M37" s="159"/>
      <c r="N37" s="159"/>
      <c r="O37" s="159"/>
    </row>
    <row r="38" spans="1:15" ht="19.5" customHeight="1">
      <c r="A38" s="264" t="s">
        <v>551</v>
      </c>
      <c r="B38" s="279">
        <v>1</v>
      </c>
      <c r="C38" s="279">
        <v>2</v>
      </c>
      <c r="D38" s="279">
        <v>1</v>
      </c>
      <c r="E38" s="279">
        <v>1</v>
      </c>
      <c r="F38" s="279">
        <v>1</v>
      </c>
      <c r="G38" s="279">
        <v>1</v>
      </c>
      <c r="H38" s="279">
        <v>1</v>
      </c>
      <c r="I38" s="279">
        <v>1</v>
      </c>
      <c r="J38" s="279">
        <v>1</v>
      </c>
      <c r="K38" s="279">
        <v>1</v>
      </c>
      <c r="L38" s="279">
        <v>1</v>
      </c>
      <c r="M38" s="159"/>
      <c r="N38" s="159"/>
      <c r="O38" s="159"/>
    </row>
    <row r="39" spans="1:15" ht="19.5" customHeight="1">
      <c r="A39" s="264" t="s">
        <v>552</v>
      </c>
      <c r="B39" s="130" t="str">
        <f>VLOOKUP(B38,権利態様,2)</f>
        <v>法定地上権</v>
      </c>
      <c r="C39" s="130" t="str">
        <f aca="true" t="shared" si="7" ref="C39:L39">IF(C32=0,0,VLOOKUP(C38,権利態様,2))</f>
        <v>借地権</v>
      </c>
      <c r="D39" s="130">
        <f t="shared" si="7"/>
        <v>0</v>
      </c>
      <c r="E39" s="130">
        <f t="shared" si="7"/>
        <v>0</v>
      </c>
      <c r="F39" s="130">
        <f t="shared" si="7"/>
        <v>0</v>
      </c>
      <c r="G39" s="130">
        <f t="shared" si="7"/>
        <v>0</v>
      </c>
      <c r="H39" s="130">
        <f t="shared" si="7"/>
        <v>0</v>
      </c>
      <c r="I39" s="130">
        <f t="shared" si="7"/>
        <v>0</v>
      </c>
      <c r="J39" s="130">
        <f t="shared" si="7"/>
        <v>0</v>
      </c>
      <c r="K39" s="130">
        <f t="shared" si="7"/>
        <v>0</v>
      </c>
      <c r="L39" s="130">
        <f t="shared" si="7"/>
        <v>0</v>
      </c>
      <c r="M39" s="159"/>
      <c r="N39" s="159"/>
      <c r="O39" s="159"/>
    </row>
    <row r="40" spans="1:15" ht="19.5" customHeight="1">
      <c r="A40" s="264" t="s">
        <v>553</v>
      </c>
      <c r="B40" s="280">
        <f>1-VLOOKUP(B38,権利態様,3)</f>
        <v>0.44999999999999996</v>
      </c>
      <c r="C40" s="280">
        <f aca="true" t="shared" si="8" ref="C40:L40">IF(C32=0,0,1-VLOOKUP(C38,権利態様,3))</f>
        <v>0.5</v>
      </c>
      <c r="D40" s="280">
        <f t="shared" si="8"/>
        <v>0</v>
      </c>
      <c r="E40" s="280">
        <f t="shared" si="8"/>
        <v>0</v>
      </c>
      <c r="F40" s="280">
        <f t="shared" si="8"/>
        <v>0</v>
      </c>
      <c r="G40" s="280">
        <f t="shared" si="8"/>
        <v>0</v>
      </c>
      <c r="H40" s="280">
        <f t="shared" si="8"/>
        <v>0</v>
      </c>
      <c r="I40" s="280">
        <f t="shared" si="8"/>
        <v>0</v>
      </c>
      <c r="J40" s="280">
        <f t="shared" si="8"/>
        <v>0</v>
      </c>
      <c r="K40" s="280">
        <f t="shared" si="8"/>
        <v>0</v>
      </c>
      <c r="L40" s="280">
        <f t="shared" si="8"/>
        <v>0</v>
      </c>
      <c r="M40" s="159"/>
      <c r="N40" s="159"/>
      <c r="O40" s="159"/>
    </row>
    <row r="41" spans="1:15" ht="19.5" customHeight="1">
      <c r="A41" s="264" t="s">
        <v>554</v>
      </c>
      <c r="B41" s="281">
        <v>1</v>
      </c>
      <c r="C41" s="276">
        <f>IF(C32=0,0,B41)</f>
        <v>1</v>
      </c>
      <c r="D41" s="276">
        <f>IF(D32=0,0,B41)</f>
        <v>0</v>
      </c>
      <c r="E41" s="276">
        <f>IF(E32=0,0,B41)</f>
        <v>0</v>
      </c>
      <c r="F41" s="276">
        <f>IF(F32=0,0,B41)</f>
        <v>0</v>
      </c>
      <c r="G41" s="276">
        <f aca="true" t="shared" si="9" ref="G41:L41">IF(G32=0,0,B41)</f>
        <v>0</v>
      </c>
      <c r="H41" s="276">
        <f t="shared" si="9"/>
        <v>0</v>
      </c>
      <c r="I41" s="276">
        <f t="shared" si="9"/>
        <v>0</v>
      </c>
      <c r="J41" s="276">
        <f t="shared" si="9"/>
        <v>0</v>
      </c>
      <c r="K41" s="276">
        <f t="shared" si="9"/>
        <v>0</v>
      </c>
      <c r="L41" s="276">
        <f t="shared" si="9"/>
        <v>0</v>
      </c>
      <c r="M41" s="159"/>
      <c r="N41" s="159"/>
      <c r="O41" s="159"/>
    </row>
    <row r="42" spans="1:15" ht="19.5" customHeight="1">
      <c r="A42" s="264" t="s">
        <v>555</v>
      </c>
      <c r="B42" s="282">
        <v>1</v>
      </c>
      <c r="C42" s="276">
        <f>IF(C32=0,0,B42)</f>
        <v>1</v>
      </c>
      <c r="D42" s="276">
        <f>IF(D32=0,0,B42)</f>
        <v>0</v>
      </c>
      <c r="E42" s="276">
        <f>IF(E32=0,0,B42)</f>
        <v>0</v>
      </c>
      <c r="F42" s="276">
        <f>IF(F32=0,0,B42)</f>
        <v>0</v>
      </c>
      <c r="G42" s="276">
        <f aca="true" t="shared" si="10" ref="G42:L42">IF(G32=0,0,B42)</f>
        <v>0</v>
      </c>
      <c r="H42" s="276">
        <f t="shared" si="10"/>
        <v>0</v>
      </c>
      <c r="I42" s="276">
        <f t="shared" si="10"/>
        <v>0</v>
      </c>
      <c r="J42" s="276">
        <f t="shared" si="10"/>
        <v>0</v>
      </c>
      <c r="K42" s="276">
        <f t="shared" si="10"/>
        <v>0</v>
      </c>
      <c r="L42" s="276">
        <f t="shared" si="10"/>
        <v>0</v>
      </c>
      <c r="M42" s="159"/>
      <c r="N42" s="159"/>
      <c r="O42" s="159"/>
    </row>
    <row r="43" spans="1:15" ht="19.5" customHeight="1">
      <c r="A43" s="264" t="s">
        <v>520</v>
      </c>
      <c r="B43" s="281">
        <f>用途性補正率</f>
        <v>1</v>
      </c>
      <c r="C43" s="281">
        <f>用途性補正率</f>
        <v>1</v>
      </c>
      <c r="D43" s="281">
        <f aca="true" t="shared" si="11" ref="D43:L43">用途性補正率</f>
        <v>1</v>
      </c>
      <c r="E43" s="281">
        <f t="shared" si="11"/>
        <v>1</v>
      </c>
      <c r="F43" s="281">
        <f t="shared" si="11"/>
        <v>1</v>
      </c>
      <c r="G43" s="281">
        <f t="shared" si="11"/>
        <v>1</v>
      </c>
      <c r="H43" s="281">
        <f t="shared" si="11"/>
        <v>1</v>
      </c>
      <c r="I43" s="281">
        <f t="shared" si="11"/>
        <v>1</v>
      </c>
      <c r="J43" s="281">
        <f t="shared" si="11"/>
        <v>1</v>
      </c>
      <c r="K43" s="281">
        <f t="shared" si="11"/>
        <v>1</v>
      </c>
      <c r="L43" s="281">
        <f t="shared" si="11"/>
        <v>1</v>
      </c>
      <c r="M43" s="159"/>
      <c r="N43" s="159"/>
      <c r="O43" s="159"/>
    </row>
    <row r="44" spans="1:15" ht="19.5" customHeight="1">
      <c r="A44" s="264" t="s">
        <v>490</v>
      </c>
      <c r="B44" s="281">
        <f>競売固有補正率</f>
        <v>1</v>
      </c>
      <c r="C44" s="281">
        <f>競売固有補正率</f>
        <v>1</v>
      </c>
      <c r="D44" s="281">
        <f aca="true" t="shared" si="12" ref="D44:L44">競売固有補正率</f>
        <v>1</v>
      </c>
      <c r="E44" s="281">
        <f t="shared" si="12"/>
        <v>1</v>
      </c>
      <c r="F44" s="281">
        <f t="shared" si="12"/>
        <v>1</v>
      </c>
      <c r="G44" s="281">
        <f t="shared" si="12"/>
        <v>1</v>
      </c>
      <c r="H44" s="281">
        <f t="shared" si="12"/>
        <v>1</v>
      </c>
      <c r="I44" s="281">
        <f t="shared" si="12"/>
        <v>1</v>
      </c>
      <c r="J44" s="281">
        <f t="shared" si="12"/>
        <v>1</v>
      </c>
      <c r="K44" s="281">
        <f t="shared" si="12"/>
        <v>1</v>
      </c>
      <c r="L44" s="281">
        <f t="shared" si="12"/>
        <v>1</v>
      </c>
      <c r="M44" s="159"/>
      <c r="N44" s="159"/>
      <c r="O44" s="159"/>
    </row>
    <row r="45" spans="1:15" ht="19.5" customHeight="1">
      <c r="A45" s="264" t="s">
        <v>556</v>
      </c>
      <c r="B45" s="231">
        <f>ROUND(B37*B40*B42*B41*B43*B44,総額処理桁Ａ)</f>
        <v>10690000</v>
      </c>
      <c r="C45" s="231">
        <f aca="true" t="shared" si="13" ref="C45:L45">IF(C24="件外",0,ROUND(C37*C40*C42*C41*C43*C44,総額処理桁Ａ))</f>
        <v>11880000</v>
      </c>
      <c r="D45" s="231">
        <f t="shared" si="13"/>
        <v>0</v>
      </c>
      <c r="E45" s="231">
        <f t="shared" si="13"/>
        <v>0</v>
      </c>
      <c r="F45" s="231">
        <f t="shared" si="13"/>
        <v>0</v>
      </c>
      <c r="G45" s="231">
        <f t="shared" si="13"/>
        <v>0</v>
      </c>
      <c r="H45" s="231">
        <f t="shared" si="13"/>
        <v>0</v>
      </c>
      <c r="I45" s="231">
        <f t="shared" si="13"/>
        <v>0</v>
      </c>
      <c r="J45" s="231">
        <f t="shared" si="13"/>
        <v>0</v>
      </c>
      <c r="K45" s="231">
        <f t="shared" si="13"/>
        <v>0</v>
      </c>
      <c r="L45" s="231">
        <f t="shared" si="13"/>
        <v>0</v>
      </c>
      <c r="M45" s="159"/>
      <c r="N45" s="159"/>
      <c r="O45" s="159"/>
    </row>
    <row r="46" spans="1:26" s="288" customFormat="1" ht="19.5" customHeight="1" thickBot="1">
      <c r="A46" s="283" t="s">
        <v>557</v>
      </c>
      <c r="B46" s="284" t="s">
        <v>558</v>
      </c>
      <c r="C46" s="284">
        <v>0</v>
      </c>
      <c r="D46" s="284">
        <v>0</v>
      </c>
      <c r="E46" s="285">
        <v>0</v>
      </c>
      <c r="F46" s="285">
        <v>0</v>
      </c>
      <c r="G46" s="285">
        <v>0</v>
      </c>
      <c r="H46" s="285">
        <v>0</v>
      </c>
      <c r="I46" s="285">
        <v>0</v>
      </c>
      <c r="J46" s="285">
        <v>0</v>
      </c>
      <c r="K46" s="285">
        <v>0</v>
      </c>
      <c r="L46" s="285">
        <v>0</v>
      </c>
      <c r="M46" s="159"/>
      <c r="N46" s="286"/>
      <c r="O46" s="286"/>
      <c r="P46" s="287"/>
      <c r="Q46" s="217"/>
      <c r="R46" s="217"/>
      <c r="S46" s="217"/>
      <c r="T46" s="217"/>
      <c r="U46" s="217"/>
      <c r="V46" s="217"/>
      <c r="W46" s="217"/>
      <c r="X46" s="217"/>
      <c r="Y46" s="217"/>
      <c r="Z46" s="217"/>
    </row>
    <row r="47" spans="1:15" ht="19.5" customHeight="1" thickTop="1">
      <c r="A47" s="139" t="s">
        <v>567</v>
      </c>
      <c r="B47" s="289"/>
      <c r="C47" s="290"/>
      <c r="D47" s="291"/>
      <c r="E47" s="291"/>
      <c r="F47" s="291"/>
      <c r="G47" s="290"/>
      <c r="H47" s="292"/>
      <c r="I47" s="292"/>
      <c r="J47" s="292"/>
      <c r="K47" s="292"/>
      <c r="L47" s="292"/>
      <c r="M47" s="159"/>
      <c r="N47" s="159"/>
      <c r="O47" s="159"/>
    </row>
    <row r="48" spans="1:15" ht="19.5" customHeight="1" thickBot="1">
      <c r="A48" s="116">
        <f>'基礎'!A64</f>
      </c>
      <c r="B48" s="293"/>
      <c r="C48" s="159"/>
      <c r="D48" s="159"/>
      <c r="E48" s="159"/>
      <c r="F48" s="159"/>
      <c r="G48" s="159"/>
      <c r="H48" s="159"/>
      <c r="I48" s="159"/>
      <c r="J48" s="159"/>
      <c r="K48" s="159"/>
      <c r="L48" s="159"/>
      <c r="M48" s="159"/>
      <c r="N48" s="159"/>
      <c r="O48" s="159"/>
    </row>
    <row r="49" spans="1:15" ht="19.5" customHeight="1" thickBot="1" thickTop="1">
      <c r="A49" s="195" t="s">
        <v>568</v>
      </c>
      <c r="B49" s="294"/>
      <c r="C49" s="295" t="s">
        <v>569</v>
      </c>
      <c r="D49" s="296">
        <v>0.05</v>
      </c>
      <c r="E49" s="297" t="s">
        <v>465</v>
      </c>
      <c r="F49" s="159"/>
      <c r="G49" s="216"/>
      <c r="H49" s="216"/>
      <c r="I49" s="216"/>
      <c r="J49" s="159"/>
      <c r="K49" s="159"/>
      <c r="L49" s="159"/>
      <c r="M49" s="159"/>
      <c r="N49" s="159"/>
      <c r="O49" s="159"/>
    </row>
    <row r="50" spans="1:15" ht="19.5" customHeight="1" thickTop="1">
      <c r="A50" s="298" t="s">
        <v>805</v>
      </c>
      <c r="B50" s="299">
        <f>'基礎'!I29</f>
        <v>2</v>
      </c>
      <c r="C50" s="300" t="str">
        <f>'基礎'!B43</f>
        <v>2</v>
      </c>
      <c r="D50" s="262">
        <f>'基礎'!C43</f>
        <v>0</v>
      </c>
      <c r="E50" s="263">
        <f>'基礎'!D43</f>
        <v>0</v>
      </c>
      <c r="F50" s="263">
        <f>'基礎'!E43</f>
        <v>0</v>
      </c>
      <c r="G50" s="263">
        <f>'基礎'!F43</f>
        <v>0</v>
      </c>
      <c r="H50" s="263">
        <f>'基礎'!G43</f>
        <v>0</v>
      </c>
      <c r="I50" s="263">
        <f>'基礎'!H43</f>
        <v>0</v>
      </c>
      <c r="J50" s="263">
        <f>'基礎'!I43</f>
        <v>0</v>
      </c>
      <c r="K50" s="263">
        <f>'基礎'!J43</f>
        <v>0</v>
      </c>
      <c r="L50" s="263">
        <f>'基礎'!K43</f>
        <v>0</v>
      </c>
      <c r="M50" s="159"/>
      <c r="N50" s="159"/>
      <c r="O50" s="159"/>
    </row>
    <row r="51" spans="1:15" ht="19.5" customHeight="1">
      <c r="A51" s="301" t="s">
        <v>220</v>
      </c>
      <c r="B51" s="302" t="s">
        <v>483</v>
      </c>
      <c r="C51" s="303" t="str">
        <f>'基礎'!B44</f>
        <v>主建物</v>
      </c>
      <c r="D51" s="304">
        <f>'基礎'!C44</f>
        <v>0</v>
      </c>
      <c r="E51" s="304">
        <f>'基礎'!D44</f>
        <v>0</v>
      </c>
      <c r="F51" s="304">
        <f>'基礎'!E44</f>
        <v>0</v>
      </c>
      <c r="G51" s="304">
        <f>'基礎'!F44</f>
        <v>0</v>
      </c>
      <c r="H51" s="304">
        <f>'基礎'!G44</f>
        <v>0</v>
      </c>
      <c r="I51" s="304">
        <f>'基礎'!H44</f>
        <v>0</v>
      </c>
      <c r="J51" s="304">
        <f>'基礎'!I44</f>
        <v>0</v>
      </c>
      <c r="K51" s="304">
        <f>'基礎'!J44</f>
        <v>0</v>
      </c>
      <c r="L51" s="304">
        <f>'基礎'!K44</f>
        <v>0</v>
      </c>
      <c r="M51" s="159"/>
      <c r="N51" s="159"/>
      <c r="O51" s="159"/>
    </row>
    <row r="52" spans="1:15" ht="19.5" customHeight="1">
      <c r="A52" s="301" t="s">
        <v>810</v>
      </c>
      <c r="B52" s="302"/>
      <c r="C52" s="158" t="str">
        <f>IF('基礎'!B57=0,"対象","件外")</f>
        <v>対象</v>
      </c>
      <c r="D52" s="145" t="str">
        <f>IF('基礎'!C57=0,"対象","件外")</f>
        <v>対象</v>
      </c>
      <c r="E52" s="145" t="str">
        <f>IF('基礎'!D57=0,"対象","件外")</f>
        <v>対象</v>
      </c>
      <c r="F52" s="145" t="str">
        <f>IF('基礎'!E57=0,"対象","件外")</f>
        <v>対象</v>
      </c>
      <c r="G52" s="145" t="str">
        <f>IF('基礎'!F57=0,"対象","件外")</f>
        <v>対象</v>
      </c>
      <c r="H52" s="145" t="str">
        <f>IF('基礎'!G57=0,"対象","件外")</f>
        <v>対象</v>
      </c>
      <c r="I52" s="145" t="str">
        <f>IF('基礎'!H57=0,"対象","件外")</f>
        <v>対象</v>
      </c>
      <c r="J52" s="145" t="str">
        <f>IF('基礎'!I57=0,"対象","件外")</f>
        <v>対象</v>
      </c>
      <c r="K52" s="145" t="str">
        <f>IF('基礎'!J57=0,"対象","件外")</f>
        <v>対象</v>
      </c>
      <c r="L52" s="145" t="str">
        <f>IF('基礎'!K57=0,"対象","件外")</f>
        <v>対象</v>
      </c>
      <c r="M52" s="159"/>
      <c r="N52" s="159"/>
      <c r="O52" s="159"/>
    </row>
    <row r="53" spans="1:15" ht="19.5" customHeight="1">
      <c r="A53" s="301" t="s">
        <v>466</v>
      </c>
      <c r="B53" s="305" t="s">
        <v>808</v>
      </c>
      <c r="C53" s="306">
        <v>150000</v>
      </c>
      <c r="D53" s="306"/>
      <c r="E53" s="306"/>
      <c r="F53" s="306"/>
      <c r="G53" s="306"/>
      <c r="H53" s="306"/>
      <c r="I53" s="306"/>
      <c r="J53" s="306"/>
      <c r="K53" s="306"/>
      <c r="L53" s="306"/>
      <c r="M53" s="159"/>
      <c r="N53" s="159"/>
      <c r="O53" s="159"/>
    </row>
    <row r="54" spans="1:15" ht="19.5" customHeight="1">
      <c r="A54" s="301" t="s">
        <v>467</v>
      </c>
      <c r="B54" s="307">
        <f>SUM(C54:L54)</f>
        <v>100</v>
      </c>
      <c r="C54" s="308">
        <f>'基礎'!B59</f>
        <v>100</v>
      </c>
      <c r="D54" s="309">
        <f>'基礎'!C59</f>
        <v>0</v>
      </c>
      <c r="E54" s="309">
        <f>'基礎'!D59</f>
        <v>0</v>
      </c>
      <c r="F54" s="309">
        <f>'基礎'!E59</f>
        <v>0</v>
      </c>
      <c r="G54" s="309">
        <f>'基礎'!F59</f>
        <v>0</v>
      </c>
      <c r="H54" s="309">
        <f>'基礎'!G59</f>
        <v>0</v>
      </c>
      <c r="I54" s="309">
        <f>'基礎'!H59</f>
        <v>0</v>
      </c>
      <c r="J54" s="309">
        <f>'基礎'!I59</f>
        <v>0</v>
      </c>
      <c r="K54" s="309">
        <f>'基礎'!J59</f>
        <v>0</v>
      </c>
      <c r="L54" s="309">
        <f>'基礎'!K59</f>
        <v>0</v>
      </c>
      <c r="M54" s="310" t="s">
        <v>109</v>
      </c>
      <c r="N54" s="311" t="s">
        <v>109</v>
      </c>
      <c r="O54" s="311"/>
    </row>
    <row r="55" spans="1:15" ht="19.5" customHeight="1">
      <c r="A55" s="301" t="s">
        <v>468</v>
      </c>
      <c r="B55" s="307">
        <f>SUM(C55:L55)</f>
        <v>100</v>
      </c>
      <c r="C55" s="308">
        <f>IF('基礎'!B60=0,'基礎'!B59,'基礎'!B60)</f>
        <v>100</v>
      </c>
      <c r="D55" s="309">
        <f>IF('基礎'!C60=0,'基礎'!C59,'基礎'!C60)</f>
        <v>0</v>
      </c>
      <c r="E55" s="309">
        <f>IF('基礎'!D60=0,'基礎'!D59,'基礎'!D60)</f>
        <v>0</v>
      </c>
      <c r="F55" s="309">
        <f>IF('基礎'!E60=0,'基礎'!E59,'基礎'!E60)</f>
        <v>0</v>
      </c>
      <c r="G55" s="309">
        <f>IF('基礎'!F60=0,'基礎'!F59,'基礎'!F60)</f>
        <v>0</v>
      </c>
      <c r="H55" s="309">
        <f>IF('基礎'!G60=0,'基礎'!G59,'基礎'!G60)</f>
        <v>0</v>
      </c>
      <c r="I55" s="309">
        <f>IF('基礎'!H60=0,'基礎'!H59,'基礎'!H60)</f>
        <v>0</v>
      </c>
      <c r="J55" s="309">
        <f>IF('基礎'!I60=0,'基礎'!I59,'基礎'!I60)</f>
        <v>0</v>
      </c>
      <c r="K55" s="309">
        <f>IF('基礎'!J60=0,'基礎'!J59,'基礎'!J60)</f>
        <v>0</v>
      </c>
      <c r="L55" s="309">
        <f>IF('基礎'!K60=0,'基礎'!K59,'基礎'!K60)</f>
        <v>0</v>
      </c>
      <c r="M55" s="310" t="s">
        <v>903</v>
      </c>
      <c r="N55" s="311" t="s">
        <v>903</v>
      </c>
      <c r="O55" s="311"/>
    </row>
    <row r="56" spans="1:15" ht="19.5" customHeight="1">
      <c r="A56" s="301" t="s">
        <v>469</v>
      </c>
      <c r="B56" s="312">
        <f>SUM(C56:L56)</f>
        <v>15000000</v>
      </c>
      <c r="C56" s="313">
        <f aca="true" t="shared" si="14" ref="C56:L56">IF(C52="件外",0,ROUNDDOWN(C53*C55,0))</f>
        <v>15000000</v>
      </c>
      <c r="D56" s="231">
        <f t="shared" si="14"/>
        <v>0</v>
      </c>
      <c r="E56" s="231">
        <f t="shared" si="14"/>
        <v>0</v>
      </c>
      <c r="F56" s="231">
        <f t="shared" si="14"/>
        <v>0</v>
      </c>
      <c r="G56" s="231">
        <f t="shared" si="14"/>
        <v>0</v>
      </c>
      <c r="H56" s="231">
        <f t="shared" si="14"/>
        <v>0</v>
      </c>
      <c r="I56" s="231">
        <f t="shared" si="14"/>
        <v>0</v>
      </c>
      <c r="J56" s="231">
        <f t="shared" si="14"/>
        <v>0</v>
      </c>
      <c r="K56" s="231">
        <f t="shared" si="14"/>
        <v>0</v>
      </c>
      <c r="L56" s="231">
        <f t="shared" si="14"/>
        <v>0</v>
      </c>
      <c r="M56" s="310" t="s">
        <v>470</v>
      </c>
      <c r="N56" s="311" t="s">
        <v>470</v>
      </c>
      <c r="O56" s="311"/>
    </row>
    <row r="57" spans="1:15" ht="19.5" customHeight="1">
      <c r="A57" s="301" t="s">
        <v>471</v>
      </c>
      <c r="B57" s="314"/>
      <c r="C57" s="315">
        <f>'要因'!B44</f>
        <v>31047</v>
      </c>
      <c r="D57" s="316">
        <f>'要因'!C44</f>
        <v>0</v>
      </c>
      <c r="E57" s="316">
        <f>'要因'!D44</f>
        <v>0</v>
      </c>
      <c r="F57" s="316">
        <f>'要因'!E44</f>
        <v>0</v>
      </c>
      <c r="G57" s="316">
        <f>'要因'!F44</f>
        <v>0</v>
      </c>
      <c r="H57" s="316">
        <f>'要因'!G44</f>
        <v>0</v>
      </c>
      <c r="I57" s="316">
        <f>'要因'!H44</f>
        <v>0</v>
      </c>
      <c r="J57" s="316">
        <f>'要因'!I44</f>
        <v>0</v>
      </c>
      <c r="K57" s="316">
        <f>'要因'!J44</f>
        <v>0</v>
      </c>
      <c r="L57" s="316">
        <f>'要因'!K44</f>
        <v>0</v>
      </c>
      <c r="M57" s="310" t="s">
        <v>770</v>
      </c>
      <c r="N57" s="311" t="s">
        <v>770</v>
      </c>
      <c r="O57" s="311"/>
    </row>
    <row r="58" spans="1:15" ht="19.5" customHeight="1">
      <c r="A58" s="301" t="s">
        <v>356</v>
      </c>
      <c r="B58" s="317">
        <f>C58</f>
        <v>10</v>
      </c>
      <c r="C58" s="318">
        <f>'要因'!B48</f>
        <v>10</v>
      </c>
      <c r="D58" s="319">
        <f>'要因'!C48</f>
        <v>0</v>
      </c>
      <c r="E58" s="319">
        <f>'要因'!D48</f>
        <v>0</v>
      </c>
      <c r="F58" s="319">
        <f>'要因'!E48</f>
        <v>0</v>
      </c>
      <c r="G58" s="319">
        <f>'要因'!F48</f>
        <v>0</v>
      </c>
      <c r="H58" s="319">
        <f>'要因'!G48</f>
        <v>0</v>
      </c>
      <c r="I58" s="319">
        <f>'要因'!H48</f>
        <v>0</v>
      </c>
      <c r="J58" s="319">
        <f>'要因'!I48</f>
        <v>0</v>
      </c>
      <c r="K58" s="319">
        <f>'要因'!J48</f>
        <v>0</v>
      </c>
      <c r="L58" s="319">
        <f>'要因'!K48</f>
        <v>0</v>
      </c>
      <c r="M58" s="310" t="s">
        <v>257</v>
      </c>
      <c r="N58" s="311" t="s">
        <v>257</v>
      </c>
      <c r="O58" s="311"/>
    </row>
    <row r="59" spans="1:15" ht="19.5" customHeight="1">
      <c r="A59" s="301" t="s">
        <v>357</v>
      </c>
      <c r="B59" s="320">
        <f>C59</f>
        <v>17.4</v>
      </c>
      <c r="C59" s="321">
        <f>IF(C54=0,0,IF('基礎'!A108=1,ROUND((評価時点-C57)/365,1),ROUND((再評価時点-C57)/365,1)))</f>
        <v>17.4</v>
      </c>
      <c r="D59" s="321">
        <f>IF(D54=0,0,IF('基礎'!A108=1,ROUND((評価時点-D57)/365,1),ROUND((再評価時点-D57)/365,1)))</f>
        <v>0</v>
      </c>
      <c r="E59" s="321">
        <f>IF(E54=0,0,IF('基礎'!A108=1,ROUND((評価時点-E57)/365,1),ROUND((再評価時点-E57)/365,1)))</f>
        <v>0</v>
      </c>
      <c r="F59" s="321">
        <f>IF(F54=0,0,IF('基礎'!A108=1,ROUND((評価時点-F57)/365,1),ROUND((再評価時点-F57)/365,1)))</f>
        <v>0</v>
      </c>
      <c r="G59" s="321">
        <f>IF(G54=0,0,IF('基礎'!A108=1,ROUND((評価時点-G57)/365,1),ROUND((再評価時点-G57)/365,1)))</f>
        <v>0</v>
      </c>
      <c r="H59" s="321">
        <f>IF(H54=0,0,IF('基礎'!A108=1,ROUND((評価時点-H57)/365,1),ROUND((再評価時点-H57)/365,1)))</f>
        <v>0</v>
      </c>
      <c r="I59" s="321">
        <f>IF(I54=0,0,IF('基礎'!A108=1,ROUND((評価時点-I57)/365,1),ROUND((再評価時点-I57)/365,1)))</f>
        <v>0</v>
      </c>
      <c r="J59" s="321">
        <f>IF(J54=0,0,IF('基礎'!A108=1,ROUND((評価時点-J57)/365,1),ROUND((再評価時点-J57)/365,1)))</f>
        <v>0</v>
      </c>
      <c r="K59" s="321">
        <f>IF(K54=0,0,IF('基礎'!A108=1,ROUND((評価時点-K57)/365,1),ROUND((再評価時点-K57)/365,1)))</f>
        <v>0</v>
      </c>
      <c r="L59" s="321">
        <f>IF(L54=0,0,IF('基礎'!A108=1,ROUND((評価時点-L57)/365,1),ROUND((再評価時点-L57)/365,1)))</f>
        <v>0</v>
      </c>
      <c r="M59" s="159" t="s">
        <v>5</v>
      </c>
      <c r="N59" s="159"/>
      <c r="O59" s="159"/>
    </row>
    <row r="60" spans="1:15" ht="19.5" customHeight="1">
      <c r="A60" s="301" t="s">
        <v>358</v>
      </c>
      <c r="B60" s="314"/>
      <c r="C60" s="322">
        <f>IF(C53=0,0,ROUND(償却残価率^(C59/(C58+C59)),4))</f>
        <v>0.1492</v>
      </c>
      <c r="D60" s="322">
        <f aca="true" t="shared" si="15" ref="D60:L60">IF(D53=0,0,ROUND(償却残価率^(D59/(D58+D59)),4))</f>
        <v>0</v>
      </c>
      <c r="E60" s="322">
        <f t="shared" si="15"/>
        <v>0</v>
      </c>
      <c r="F60" s="322">
        <f t="shared" si="15"/>
        <v>0</v>
      </c>
      <c r="G60" s="322">
        <f t="shared" si="15"/>
        <v>0</v>
      </c>
      <c r="H60" s="322">
        <f t="shared" si="15"/>
        <v>0</v>
      </c>
      <c r="I60" s="322">
        <f t="shared" si="15"/>
        <v>0</v>
      </c>
      <c r="J60" s="322">
        <f t="shared" si="15"/>
        <v>0</v>
      </c>
      <c r="K60" s="322">
        <f t="shared" si="15"/>
        <v>0</v>
      </c>
      <c r="L60" s="322">
        <f t="shared" si="15"/>
        <v>0</v>
      </c>
      <c r="M60" s="159"/>
      <c r="N60" s="159"/>
      <c r="O60" s="159"/>
    </row>
    <row r="61" spans="1:15" ht="19.5" customHeight="1">
      <c r="A61" s="301" t="s">
        <v>359</v>
      </c>
      <c r="B61" s="314"/>
      <c r="C61" s="322">
        <f>IF(C53=0,0,ROUND(1-(1-償却残価率)*(C59/(C59+C58)),4))</f>
        <v>0.3967</v>
      </c>
      <c r="D61" s="322">
        <f aca="true" t="shared" si="16" ref="D61:L61">IF(D53=0,0,ROUND(1-(1-償却残価率)*(D59/(D59+D58)),4))</f>
        <v>0</v>
      </c>
      <c r="E61" s="322">
        <f t="shared" si="16"/>
        <v>0</v>
      </c>
      <c r="F61" s="322">
        <f t="shared" si="16"/>
        <v>0</v>
      </c>
      <c r="G61" s="322">
        <f t="shared" si="16"/>
        <v>0</v>
      </c>
      <c r="H61" s="322">
        <f t="shared" si="16"/>
        <v>0</v>
      </c>
      <c r="I61" s="322">
        <f t="shared" si="16"/>
        <v>0</v>
      </c>
      <c r="J61" s="322">
        <f t="shared" si="16"/>
        <v>0</v>
      </c>
      <c r="K61" s="322">
        <f t="shared" si="16"/>
        <v>0</v>
      </c>
      <c r="L61" s="322">
        <f t="shared" si="16"/>
        <v>0</v>
      </c>
      <c r="M61" s="159"/>
      <c r="N61" s="159"/>
      <c r="O61" s="159"/>
    </row>
    <row r="62" spans="1:15" ht="19.5" customHeight="1">
      <c r="A62" s="323" t="s">
        <v>472</v>
      </c>
      <c r="B62" s="314"/>
      <c r="C62" s="324">
        <v>0</v>
      </c>
      <c r="D62" s="324">
        <v>0</v>
      </c>
      <c r="E62" s="324">
        <v>0</v>
      </c>
      <c r="F62" s="324">
        <v>0</v>
      </c>
      <c r="G62" s="324">
        <v>0</v>
      </c>
      <c r="H62" s="324">
        <v>0</v>
      </c>
      <c r="I62" s="324">
        <v>0</v>
      </c>
      <c r="J62" s="324">
        <v>0</v>
      </c>
      <c r="K62" s="324">
        <v>0</v>
      </c>
      <c r="L62" s="324">
        <v>0</v>
      </c>
      <c r="M62" s="159"/>
      <c r="N62" s="159"/>
      <c r="O62" s="159"/>
    </row>
    <row r="63" spans="1:15" ht="19.5" customHeight="1">
      <c r="A63" s="325" t="s">
        <v>730</v>
      </c>
      <c r="B63" s="314"/>
      <c r="C63" s="326">
        <v>1</v>
      </c>
      <c r="D63" s="326">
        <v>1</v>
      </c>
      <c r="E63" s="326">
        <v>1</v>
      </c>
      <c r="F63" s="326">
        <v>1</v>
      </c>
      <c r="G63" s="326">
        <v>1</v>
      </c>
      <c r="H63" s="326">
        <v>1</v>
      </c>
      <c r="I63" s="326">
        <v>1</v>
      </c>
      <c r="J63" s="326">
        <v>1</v>
      </c>
      <c r="K63" s="326">
        <v>1</v>
      </c>
      <c r="L63" s="326">
        <v>1</v>
      </c>
      <c r="M63" s="159"/>
      <c r="N63" s="159"/>
      <c r="O63" s="159"/>
    </row>
    <row r="64" spans="1:15" ht="19.5" customHeight="1">
      <c r="A64" s="301" t="s">
        <v>586</v>
      </c>
      <c r="B64" s="314"/>
      <c r="C64" s="327">
        <f>IF(C63=1,C60,IF(C63=2,C61,C62))</f>
        <v>0.1492</v>
      </c>
      <c r="D64" s="327">
        <f aca="true" t="shared" si="17" ref="D64:L64">IF(D63=1,D60,IF(D63=2,D61,D62))</f>
        <v>0</v>
      </c>
      <c r="E64" s="327">
        <f t="shared" si="17"/>
        <v>0</v>
      </c>
      <c r="F64" s="327">
        <f t="shared" si="17"/>
        <v>0</v>
      </c>
      <c r="G64" s="327">
        <f t="shared" si="17"/>
        <v>0</v>
      </c>
      <c r="H64" s="327">
        <f t="shared" si="17"/>
        <v>0</v>
      </c>
      <c r="I64" s="327">
        <f t="shared" si="17"/>
        <v>0</v>
      </c>
      <c r="J64" s="327">
        <f t="shared" si="17"/>
        <v>0</v>
      </c>
      <c r="K64" s="327">
        <f t="shared" si="17"/>
        <v>0</v>
      </c>
      <c r="L64" s="327">
        <f t="shared" si="17"/>
        <v>0</v>
      </c>
      <c r="M64" s="159"/>
      <c r="N64" s="328"/>
      <c r="O64" s="159"/>
    </row>
    <row r="65" spans="1:15" s="336" customFormat="1" ht="19.5" customHeight="1" thickBot="1">
      <c r="A65" s="329" t="s">
        <v>587</v>
      </c>
      <c r="B65" s="330">
        <f>SUM(C65:L65)</f>
        <v>2238000</v>
      </c>
      <c r="C65" s="331">
        <f>ROUND(C56*C64,-3)</f>
        <v>2238000</v>
      </c>
      <c r="D65" s="332">
        <f>ROUND(D56*D64,-3)</f>
        <v>0</v>
      </c>
      <c r="E65" s="332">
        <f aca="true" t="shared" si="18" ref="E65:L65">ROUND(E56*E64,-3)</f>
        <v>0</v>
      </c>
      <c r="F65" s="332">
        <f t="shared" si="18"/>
        <v>0</v>
      </c>
      <c r="G65" s="332">
        <f t="shared" si="18"/>
        <v>0</v>
      </c>
      <c r="H65" s="332">
        <f t="shared" si="18"/>
        <v>0</v>
      </c>
      <c r="I65" s="332">
        <f t="shared" si="18"/>
        <v>0</v>
      </c>
      <c r="J65" s="332">
        <f t="shared" si="18"/>
        <v>0</v>
      </c>
      <c r="K65" s="332">
        <f t="shared" si="18"/>
        <v>0</v>
      </c>
      <c r="L65" s="332">
        <f t="shared" si="18"/>
        <v>0</v>
      </c>
      <c r="M65" s="333" t="s">
        <v>6</v>
      </c>
      <c r="N65" s="334" t="s">
        <v>6</v>
      </c>
      <c r="O65" s="335"/>
    </row>
    <row r="66" spans="1:15" ht="19.5" customHeight="1" thickTop="1">
      <c r="A66" s="337" t="s">
        <v>676</v>
      </c>
      <c r="B66" s="338">
        <f>更地価格</f>
        <v>250000</v>
      </c>
      <c r="C66" s="313">
        <f>更地価格</f>
        <v>250000</v>
      </c>
      <c r="D66" s="313">
        <f aca="true" t="shared" si="19" ref="D66:L66">更地価格</f>
        <v>250000</v>
      </c>
      <c r="E66" s="313">
        <f t="shared" si="19"/>
        <v>250000</v>
      </c>
      <c r="F66" s="313">
        <f t="shared" si="19"/>
        <v>250000</v>
      </c>
      <c r="G66" s="313">
        <f t="shared" si="19"/>
        <v>250000</v>
      </c>
      <c r="H66" s="313">
        <f t="shared" si="19"/>
        <v>250000</v>
      </c>
      <c r="I66" s="313">
        <f t="shared" si="19"/>
        <v>250000</v>
      </c>
      <c r="J66" s="313">
        <f t="shared" si="19"/>
        <v>250000</v>
      </c>
      <c r="K66" s="313">
        <f t="shared" si="19"/>
        <v>250000</v>
      </c>
      <c r="L66" s="313">
        <f t="shared" si="19"/>
        <v>250000</v>
      </c>
      <c r="M66" s="339" t="s">
        <v>470</v>
      </c>
      <c r="N66" s="340" t="s">
        <v>470</v>
      </c>
      <c r="O66" s="311"/>
    </row>
    <row r="67" spans="1:15" ht="19.5" customHeight="1">
      <c r="A67" s="341" t="s">
        <v>588</v>
      </c>
      <c r="B67" s="342">
        <f>含件外合計面積</f>
        <v>100</v>
      </c>
      <c r="C67" s="343">
        <f>含件外合計面積-SUM(D67:L67)</f>
        <v>100</v>
      </c>
      <c r="D67" s="344">
        <f aca="true" t="shared" si="20" ref="D67:L67">IF(D54=0,0,ROUND(含件外合計面積*(D149/採用最大床面積計),3))</f>
        <v>0</v>
      </c>
      <c r="E67" s="344">
        <f t="shared" si="20"/>
        <v>0</v>
      </c>
      <c r="F67" s="344">
        <f t="shared" si="20"/>
        <v>0</v>
      </c>
      <c r="G67" s="344">
        <f t="shared" si="20"/>
        <v>0</v>
      </c>
      <c r="H67" s="344">
        <f t="shared" si="20"/>
        <v>0</v>
      </c>
      <c r="I67" s="344">
        <f t="shared" si="20"/>
        <v>0</v>
      </c>
      <c r="J67" s="344">
        <f t="shared" si="20"/>
        <v>0</v>
      </c>
      <c r="K67" s="344">
        <f t="shared" si="20"/>
        <v>0</v>
      </c>
      <c r="L67" s="344">
        <f t="shared" si="20"/>
        <v>0</v>
      </c>
      <c r="M67" s="339" t="s">
        <v>55</v>
      </c>
      <c r="N67" s="340" t="s">
        <v>55</v>
      </c>
      <c r="O67" s="311"/>
    </row>
    <row r="68" spans="1:15" ht="19.5" customHeight="1">
      <c r="A68" s="345" t="s">
        <v>739</v>
      </c>
      <c r="B68" s="346">
        <v>1</v>
      </c>
      <c r="C68" s="347">
        <v>1</v>
      </c>
      <c r="D68" s="347">
        <v>1</v>
      </c>
      <c r="E68" s="347">
        <v>1</v>
      </c>
      <c r="F68" s="347">
        <v>1</v>
      </c>
      <c r="G68" s="347">
        <v>1</v>
      </c>
      <c r="H68" s="347">
        <v>1</v>
      </c>
      <c r="I68" s="347">
        <v>1</v>
      </c>
      <c r="J68" s="347">
        <v>1</v>
      </c>
      <c r="K68" s="347">
        <v>1</v>
      </c>
      <c r="L68" s="347">
        <v>1</v>
      </c>
      <c r="M68" s="339"/>
      <c r="N68" s="340"/>
      <c r="O68" s="311"/>
    </row>
    <row r="69" spans="1:15" ht="19.5" customHeight="1">
      <c r="A69" s="337" t="s">
        <v>855</v>
      </c>
      <c r="B69" s="348">
        <f>B33</f>
        <v>0.95</v>
      </c>
      <c r="C69" s="349">
        <f>B69</f>
        <v>0.95</v>
      </c>
      <c r="D69" s="350">
        <f>C69</f>
        <v>0.95</v>
      </c>
      <c r="E69" s="350">
        <f>C69</f>
        <v>0.95</v>
      </c>
      <c r="F69" s="350">
        <f>C69</f>
        <v>0.95</v>
      </c>
      <c r="G69" s="350">
        <f aca="true" t="shared" si="21" ref="G69:L69">C69</f>
        <v>0.95</v>
      </c>
      <c r="H69" s="350">
        <f t="shared" si="21"/>
        <v>0.95</v>
      </c>
      <c r="I69" s="350">
        <f t="shared" si="21"/>
        <v>0.95</v>
      </c>
      <c r="J69" s="350">
        <f t="shared" si="21"/>
        <v>0.95</v>
      </c>
      <c r="K69" s="350">
        <f t="shared" si="21"/>
        <v>0.95</v>
      </c>
      <c r="L69" s="350">
        <f t="shared" si="21"/>
        <v>0.95</v>
      </c>
      <c r="M69" s="339" t="s">
        <v>6</v>
      </c>
      <c r="N69" s="340" t="s">
        <v>6</v>
      </c>
      <c r="O69" s="311"/>
    </row>
    <row r="70" spans="1:15" ht="19.5" customHeight="1">
      <c r="A70" s="341" t="s">
        <v>550</v>
      </c>
      <c r="B70" s="312">
        <f>ROUNDDOWN(B66*敷地相当地積*B68*B69,0)</f>
        <v>23750000</v>
      </c>
      <c r="C70" s="351">
        <f aca="true" t="shared" si="22" ref="C70:L70">ROUNDDOWN(C66*C67*C68*C69,0)</f>
        <v>23750000</v>
      </c>
      <c r="D70" s="351">
        <f t="shared" si="22"/>
        <v>0</v>
      </c>
      <c r="E70" s="351">
        <f t="shared" si="22"/>
        <v>0</v>
      </c>
      <c r="F70" s="351">
        <f t="shared" si="22"/>
        <v>0</v>
      </c>
      <c r="G70" s="351">
        <f t="shared" si="22"/>
        <v>0</v>
      </c>
      <c r="H70" s="351">
        <f t="shared" si="22"/>
        <v>0</v>
      </c>
      <c r="I70" s="351">
        <f t="shared" si="22"/>
        <v>0</v>
      </c>
      <c r="J70" s="351">
        <f t="shared" si="22"/>
        <v>0</v>
      </c>
      <c r="K70" s="351">
        <f t="shared" si="22"/>
        <v>0</v>
      </c>
      <c r="L70" s="351">
        <f t="shared" si="22"/>
        <v>0</v>
      </c>
      <c r="M70" s="339" t="s">
        <v>55</v>
      </c>
      <c r="N70" s="340" t="s">
        <v>55</v>
      </c>
      <c r="O70" s="311"/>
    </row>
    <row r="71" spans="1:15" ht="19.5" customHeight="1">
      <c r="A71" s="352" t="s">
        <v>740</v>
      </c>
      <c r="B71" s="353"/>
      <c r="C71" s="308" t="str">
        <f>IF(B38=4,"　※複数建物の敷地利用権が異なる場合は、自動計算で加重割合が表示される。","　※敷地利用権利の錯綜無し")</f>
        <v>　※敷地利用権利の錯綜無し</v>
      </c>
      <c r="D71" s="354"/>
      <c r="E71" s="354"/>
      <c r="F71" s="354"/>
      <c r="G71" s="354"/>
      <c r="H71" s="354"/>
      <c r="I71" s="354"/>
      <c r="J71" s="354"/>
      <c r="K71" s="354"/>
      <c r="L71" s="354"/>
      <c r="M71" s="339" t="s">
        <v>5</v>
      </c>
      <c r="N71" s="340" t="s">
        <v>5</v>
      </c>
      <c r="O71" s="311"/>
    </row>
    <row r="72" spans="1:15" ht="19.5" customHeight="1">
      <c r="A72" s="341" t="s">
        <v>551</v>
      </c>
      <c r="B72" s="355">
        <v>1</v>
      </c>
      <c r="C72" s="356"/>
      <c r="D72" s="357"/>
      <c r="E72" s="357"/>
      <c r="F72" s="357"/>
      <c r="G72" s="357"/>
      <c r="H72" s="357"/>
      <c r="I72" s="357"/>
      <c r="J72" s="357"/>
      <c r="K72" s="357"/>
      <c r="L72" s="357"/>
      <c r="M72" s="339" t="s">
        <v>770</v>
      </c>
      <c r="N72" s="340" t="s">
        <v>770</v>
      </c>
      <c r="O72" s="311"/>
    </row>
    <row r="73" spans="1:15" ht="19.5" customHeight="1">
      <c r="A73" s="341" t="s">
        <v>741</v>
      </c>
      <c r="B73" s="358" t="str">
        <f aca="true" t="shared" si="23" ref="B73:L73">IF(B54=0,0,VLOOKUP(B72,権利態様,2))</f>
        <v>法定地上権</v>
      </c>
      <c r="C73" s="121" t="str">
        <f t="shared" si="23"/>
        <v>負担無し</v>
      </c>
      <c r="D73" s="130">
        <f t="shared" si="23"/>
        <v>0</v>
      </c>
      <c r="E73" s="130">
        <f t="shared" si="23"/>
        <v>0</v>
      </c>
      <c r="F73" s="130">
        <f t="shared" si="23"/>
        <v>0</v>
      </c>
      <c r="G73" s="130">
        <f t="shared" si="23"/>
        <v>0</v>
      </c>
      <c r="H73" s="130">
        <f t="shared" si="23"/>
        <v>0</v>
      </c>
      <c r="I73" s="130">
        <f t="shared" si="23"/>
        <v>0</v>
      </c>
      <c r="J73" s="130">
        <f t="shared" si="23"/>
        <v>0</v>
      </c>
      <c r="K73" s="130">
        <f t="shared" si="23"/>
        <v>0</v>
      </c>
      <c r="L73" s="130">
        <f t="shared" si="23"/>
        <v>0</v>
      </c>
      <c r="M73" s="339" t="s">
        <v>55</v>
      </c>
      <c r="N73" s="340" t="s">
        <v>55</v>
      </c>
      <c r="O73" s="311"/>
    </row>
    <row r="74" spans="1:15" ht="19.5" customHeight="1">
      <c r="A74" s="341" t="s">
        <v>742</v>
      </c>
      <c r="B74" s="359">
        <f aca="true" t="shared" si="24" ref="B74:L74">IF(B54=0,0,VLOOKUP(B72,権利態様,3))</f>
        <v>0.55</v>
      </c>
      <c r="C74" s="360">
        <f t="shared" si="24"/>
        <v>0</v>
      </c>
      <c r="D74" s="280">
        <f t="shared" si="24"/>
        <v>0</v>
      </c>
      <c r="E74" s="280">
        <f t="shared" si="24"/>
        <v>0</v>
      </c>
      <c r="F74" s="280">
        <f t="shared" si="24"/>
        <v>0</v>
      </c>
      <c r="G74" s="280">
        <f t="shared" si="24"/>
        <v>0</v>
      </c>
      <c r="H74" s="280">
        <f t="shared" si="24"/>
        <v>0</v>
      </c>
      <c r="I74" s="280">
        <f t="shared" si="24"/>
        <v>0</v>
      </c>
      <c r="J74" s="280">
        <f t="shared" si="24"/>
        <v>0</v>
      </c>
      <c r="K74" s="280">
        <f t="shared" si="24"/>
        <v>0</v>
      </c>
      <c r="L74" s="280">
        <f t="shared" si="24"/>
        <v>0</v>
      </c>
      <c r="M74" s="339" t="s">
        <v>55</v>
      </c>
      <c r="N74" s="340" t="s">
        <v>55</v>
      </c>
      <c r="O74" s="311"/>
    </row>
    <row r="75" spans="1:15" ht="19.5" customHeight="1" thickBot="1">
      <c r="A75" s="361" t="s">
        <v>743</v>
      </c>
      <c r="B75" s="330">
        <f>ROUNDDOWN(B70*B74,0)</f>
        <v>13062500</v>
      </c>
      <c r="C75" s="362">
        <f>ROUNDDOWN(C70*C74,0)</f>
        <v>0</v>
      </c>
      <c r="D75" s="362">
        <f aca="true" t="shared" si="25" ref="D75:L75">ROUNDDOWN(D70*D74,0)</f>
        <v>0</v>
      </c>
      <c r="E75" s="362">
        <f t="shared" si="25"/>
        <v>0</v>
      </c>
      <c r="F75" s="362">
        <f t="shared" si="25"/>
        <v>0</v>
      </c>
      <c r="G75" s="362">
        <f t="shared" si="25"/>
        <v>0</v>
      </c>
      <c r="H75" s="362">
        <f t="shared" si="25"/>
        <v>0</v>
      </c>
      <c r="I75" s="362">
        <f t="shared" si="25"/>
        <v>0</v>
      </c>
      <c r="J75" s="362">
        <f t="shared" si="25"/>
        <v>0</v>
      </c>
      <c r="K75" s="362">
        <f t="shared" si="25"/>
        <v>0</v>
      </c>
      <c r="L75" s="362">
        <f t="shared" si="25"/>
        <v>0</v>
      </c>
      <c r="M75" s="159"/>
      <c r="N75" s="159"/>
      <c r="O75" s="159"/>
    </row>
    <row r="76" spans="1:15" ht="19.5" customHeight="1" thickTop="1">
      <c r="A76" s="298" t="s">
        <v>859</v>
      </c>
      <c r="B76" s="363">
        <f aca="true" t="shared" si="26" ref="B76:L76">B65+B75</f>
        <v>15300500</v>
      </c>
      <c r="C76" s="364">
        <f t="shared" si="26"/>
        <v>2238000</v>
      </c>
      <c r="D76" s="365">
        <f t="shared" si="26"/>
        <v>0</v>
      </c>
      <c r="E76" s="365">
        <f t="shared" si="26"/>
        <v>0</v>
      </c>
      <c r="F76" s="365">
        <f t="shared" si="26"/>
        <v>0</v>
      </c>
      <c r="G76" s="365">
        <f t="shared" si="26"/>
        <v>0</v>
      </c>
      <c r="H76" s="365">
        <f t="shared" si="26"/>
        <v>0</v>
      </c>
      <c r="I76" s="365">
        <f t="shared" si="26"/>
        <v>0</v>
      </c>
      <c r="J76" s="365">
        <f t="shared" si="26"/>
        <v>0</v>
      </c>
      <c r="K76" s="365">
        <f t="shared" si="26"/>
        <v>0</v>
      </c>
      <c r="L76" s="365">
        <f t="shared" si="26"/>
        <v>0</v>
      </c>
      <c r="M76" s="159"/>
      <c r="N76" s="159"/>
      <c r="O76" s="159"/>
    </row>
    <row r="77" spans="1:15" ht="19.5" customHeight="1">
      <c r="A77" s="301" t="s">
        <v>745</v>
      </c>
      <c r="B77" s="348">
        <f aca="true" t="shared" si="27" ref="B77:L77">IF(B54=0,0,底地市場補正率)</f>
        <v>1</v>
      </c>
      <c r="C77" s="366">
        <f t="shared" si="27"/>
        <v>1</v>
      </c>
      <c r="D77" s="366">
        <f t="shared" si="27"/>
        <v>0</v>
      </c>
      <c r="E77" s="366">
        <f t="shared" si="27"/>
        <v>0</v>
      </c>
      <c r="F77" s="366">
        <f t="shared" si="27"/>
        <v>0</v>
      </c>
      <c r="G77" s="366">
        <f t="shared" si="27"/>
        <v>0</v>
      </c>
      <c r="H77" s="366">
        <f t="shared" si="27"/>
        <v>0</v>
      </c>
      <c r="I77" s="366">
        <f t="shared" si="27"/>
        <v>0</v>
      </c>
      <c r="J77" s="366">
        <f t="shared" si="27"/>
        <v>0</v>
      </c>
      <c r="K77" s="366">
        <f t="shared" si="27"/>
        <v>0</v>
      </c>
      <c r="L77" s="366">
        <f t="shared" si="27"/>
        <v>0</v>
      </c>
      <c r="M77" s="159"/>
      <c r="N77" s="159"/>
      <c r="O77" s="159"/>
    </row>
    <row r="78" spans="1:15" ht="19.5" customHeight="1">
      <c r="A78" s="301" t="s">
        <v>746</v>
      </c>
      <c r="B78" s="367">
        <v>1</v>
      </c>
      <c r="C78" s="275">
        <f>ROUND('基礎'!B62/'基礎'!B61,5)</f>
        <v>1</v>
      </c>
      <c r="D78" s="275">
        <f>ROUND('基礎'!C62/'基礎'!C61,5)</f>
        <v>1</v>
      </c>
      <c r="E78" s="275">
        <f>ROUND('基礎'!D62/'基礎'!D61,5)</f>
        <v>1</v>
      </c>
      <c r="F78" s="275">
        <f>ROUND('基礎'!E62/'基礎'!E61,5)</f>
        <v>1</v>
      </c>
      <c r="G78" s="275">
        <f>ROUND('基礎'!F62/'基礎'!F61,5)</f>
        <v>1</v>
      </c>
      <c r="H78" s="275">
        <f>ROUND('基礎'!G62/'基礎'!G61,5)</f>
        <v>1</v>
      </c>
      <c r="I78" s="275">
        <f>ROUND('基礎'!H62/'基礎'!H61,5)</f>
        <v>1</v>
      </c>
      <c r="J78" s="275">
        <f>ROUND('基礎'!I62/'基礎'!I61,5)</f>
        <v>1</v>
      </c>
      <c r="K78" s="275">
        <f>ROUND('基礎'!J62/'基礎'!J61,5)</f>
        <v>1</v>
      </c>
      <c r="L78" s="275">
        <f>ROUND('基礎'!K62/'基礎'!K61,5)</f>
        <v>1</v>
      </c>
      <c r="M78" s="159"/>
      <c r="N78" s="159"/>
      <c r="O78" s="159"/>
    </row>
    <row r="79" spans="1:15" ht="19.5" customHeight="1">
      <c r="A79" s="301" t="s">
        <v>747</v>
      </c>
      <c r="B79" s="348">
        <f>IF(B54=0,0,C79)</f>
        <v>1</v>
      </c>
      <c r="C79" s="366">
        <f>IF(C54=0,0,共有持分補正率)</f>
        <v>1</v>
      </c>
      <c r="D79" s="366">
        <f aca="true" t="shared" si="28" ref="D79:L79">IF(D54=0,0,共有持分補正率)</f>
        <v>0</v>
      </c>
      <c r="E79" s="366">
        <f t="shared" si="28"/>
        <v>0</v>
      </c>
      <c r="F79" s="366">
        <f t="shared" si="28"/>
        <v>0</v>
      </c>
      <c r="G79" s="366">
        <f t="shared" si="28"/>
        <v>0</v>
      </c>
      <c r="H79" s="366">
        <f t="shared" si="28"/>
        <v>0</v>
      </c>
      <c r="I79" s="366">
        <f t="shared" si="28"/>
        <v>0</v>
      </c>
      <c r="J79" s="366">
        <f t="shared" si="28"/>
        <v>0</v>
      </c>
      <c r="K79" s="366">
        <f t="shared" si="28"/>
        <v>0</v>
      </c>
      <c r="L79" s="366">
        <f t="shared" si="28"/>
        <v>0</v>
      </c>
      <c r="M79" s="159"/>
      <c r="N79" s="159"/>
      <c r="O79" s="159"/>
    </row>
    <row r="80" spans="1:15" ht="19.5" customHeight="1">
      <c r="A80" s="301" t="s">
        <v>748</v>
      </c>
      <c r="B80" s="368">
        <f>B76*B77*B78*B79</f>
        <v>15300500</v>
      </c>
      <c r="C80" s="368">
        <f>C76*C77*C78*C79</f>
        <v>2238000</v>
      </c>
      <c r="D80" s="368">
        <f aca="true" t="shared" si="29" ref="D80:J80">D76*D77*D78*D79</f>
        <v>0</v>
      </c>
      <c r="E80" s="368">
        <f t="shared" si="29"/>
        <v>0</v>
      </c>
      <c r="F80" s="368">
        <f t="shared" si="29"/>
        <v>0</v>
      </c>
      <c r="G80" s="368">
        <f t="shared" si="29"/>
        <v>0</v>
      </c>
      <c r="H80" s="368">
        <f t="shared" si="29"/>
        <v>0</v>
      </c>
      <c r="I80" s="368">
        <f t="shared" si="29"/>
        <v>0</v>
      </c>
      <c r="J80" s="368">
        <f t="shared" si="29"/>
        <v>0</v>
      </c>
      <c r="K80" s="368">
        <f>K76*K77*K78*K79</f>
        <v>0</v>
      </c>
      <c r="L80" s="368">
        <f>L76*L77*L78*L79</f>
        <v>0</v>
      </c>
      <c r="M80" s="159"/>
      <c r="N80" s="159"/>
      <c r="O80" s="159"/>
    </row>
    <row r="81" spans="1:15" ht="19.5" customHeight="1">
      <c r="A81" s="301" t="s">
        <v>552</v>
      </c>
      <c r="B81" s="358" t="str">
        <f>B153</f>
        <v>無し</v>
      </c>
      <c r="C81" s="369" t="s">
        <v>749</v>
      </c>
      <c r="D81" s="369" t="s">
        <v>749</v>
      </c>
      <c r="E81" s="369" t="s">
        <v>749</v>
      </c>
      <c r="F81" s="369" t="s">
        <v>749</v>
      </c>
      <c r="G81" s="369" t="s">
        <v>749</v>
      </c>
      <c r="H81" s="369" t="s">
        <v>749</v>
      </c>
      <c r="I81" s="369" t="s">
        <v>749</v>
      </c>
      <c r="J81" s="369" t="s">
        <v>749</v>
      </c>
      <c r="K81" s="369" t="s">
        <v>749</v>
      </c>
      <c r="L81" s="369" t="s">
        <v>749</v>
      </c>
      <c r="M81" s="159"/>
      <c r="N81" s="159"/>
      <c r="O81" s="159"/>
    </row>
    <row r="82" spans="1:15" ht="19.5" customHeight="1">
      <c r="A82" s="301" t="s">
        <v>750</v>
      </c>
      <c r="B82" s="370">
        <f>B157</f>
        <v>1</v>
      </c>
      <c r="C82" s="371">
        <v>1</v>
      </c>
      <c r="D82" s="371">
        <v>1</v>
      </c>
      <c r="E82" s="371">
        <v>1</v>
      </c>
      <c r="F82" s="371">
        <v>1</v>
      </c>
      <c r="G82" s="371">
        <v>1</v>
      </c>
      <c r="H82" s="371">
        <v>1</v>
      </c>
      <c r="I82" s="371">
        <v>1</v>
      </c>
      <c r="J82" s="371">
        <v>1</v>
      </c>
      <c r="K82" s="371">
        <v>1</v>
      </c>
      <c r="L82" s="371">
        <v>1</v>
      </c>
      <c r="M82" s="159"/>
      <c r="N82" s="159"/>
      <c r="O82" s="159"/>
    </row>
    <row r="83" spans="1:15" ht="19.5" customHeight="1">
      <c r="A83" s="264" t="s">
        <v>520</v>
      </c>
      <c r="B83" s="348">
        <f>用途性補正率</f>
        <v>1</v>
      </c>
      <c r="C83" s="372">
        <f>IF(C53=0,0,用途性補正率)</f>
        <v>1</v>
      </c>
      <c r="D83" s="372">
        <f aca="true" t="shared" si="30" ref="D83:L83">IF(D53=0,0,用途性補正率)</f>
        <v>0</v>
      </c>
      <c r="E83" s="372">
        <f t="shared" si="30"/>
        <v>0</v>
      </c>
      <c r="F83" s="372">
        <f t="shared" si="30"/>
        <v>0</v>
      </c>
      <c r="G83" s="372">
        <f t="shared" si="30"/>
        <v>0</v>
      </c>
      <c r="H83" s="372">
        <f t="shared" si="30"/>
        <v>0</v>
      </c>
      <c r="I83" s="372">
        <f t="shared" si="30"/>
        <v>0</v>
      </c>
      <c r="J83" s="372">
        <f t="shared" si="30"/>
        <v>0</v>
      </c>
      <c r="K83" s="372">
        <f t="shared" si="30"/>
        <v>0</v>
      </c>
      <c r="L83" s="372">
        <f t="shared" si="30"/>
        <v>0</v>
      </c>
      <c r="M83" s="159"/>
      <c r="N83" s="159"/>
      <c r="O83" s="159"/>
    </row>
    <row r="84" spans="1:15" ht="19.5" customHeight="1">
      <c r="A84" s="264" t="s">
        <v>490</v>
      </c>
      <c r="B84" s="373">
        <f>競売固有補正率</f>
        <v>1</v>
      </c>
      <c r="C84" s="372">
        <f>IF(C54=0,0,競売固有補正率)</f>
        <v>1</v>
      </c>
      <c r="D84" s="372">
        <f aca="true" t="shared" si="31" ref="D84:L84">IF(D54=0,0,競売固有補正率)</f>
        <v>0</v>
      </c>
      <c r="E84" s="372">
        <f t="shared" si="31"/>
        <v>0</v>
      </c>
      <c r="F84" s="372">
        <f t="shared" si="31"/>
        <v>0</v>
      </c>
      <c r="G84" s="372">
        <f t="shared" si="31"/>
        <v>0</v>
      </c>
      <c r="H84" s="372">
        <f t="shared" si="31"/>
        <v>0</v>
      </c>
      <c r="I84" s="372">
        <f t="shared" si="31"/>
        <v>0</v>
      </c>
      <c r="J84" s="372">
        <f t="shared" si="31"/>
        <v>0</v>
      </c>
      <c r="K84" s="372">
        <f t="shared" si="31"/>
        <v>0</v>
      </c>
      <c r="L84" s="372">
        <f t="shared" si="31"/>
        <v>0</v>
      </c>
      <c r="M84" s="159"/>
      <c r="N84" s="159"/>
      <c r="O84" s="159"/>
    </row>
    <row r="85" spans="1:15" ht="19.5" customHeight="1">
      <c r="A85" s="374" t="s">
        <v>873</v>
      </c>
      <c r="B85" s="312">
        <f>ROUND(B80*B82*B83*B84,0)</f>
        <v>15300500</v>
      </c>
      <c r="C85" s="375">
        <f>ROUND(C80*C82*C83*C84,0)</f>
        <v>2238000</v>
      </c>
      <c r="D85" s="376">
        <f>ROUND(D80*D82*D83*D84,0)</f>
        <v>0</v>
      </c>
      <c r="E85" s="376">
        <f aca="true" t="shared" si="32" ref="E85:L85">ROUND(E80*E82*E83*E84,0)</f>
        <v>0</v>
      </c>
      <c r="F85" s="376">
        <f t="shared" si="32"/>
        <v>0</v>
      </c>
      <c r="G85" s="376">
        <f t="shared" si="32"/>
        <v>0</v>
      </c>
      <c r="H85" s="376">
        <f t="shared" si="32"/>
        <v>0</v>
      </c>
      <c r="I85" s="376">
        <f t="shared" si="32"/>
        <v>0</v>
      </c>
      <c r="J85" s="376">
        <f t="shared" si="32"/>
        <v>0</v>
      </c>
      <c r="K85" s="376">
        <f t="shared" si="32"/>
        <v>0</v>
      </c>
      <c r="L85" s="376">
        <f t="shared" si="32"/>
        <v>0</v>
      </c>
      <c r="M85" s="159"/>
      <c r="N85" s="159"/>
      <c r="O85" s="159"/>
    </row>
    <row r="86" spans="1:15" ht="19.5" customHeight="1" thickBot="1">
      <c r="A86" s="377" t="s">
        <v>557</v>
      </c>
      <c r="B86" s="378" t="s">
        <v>492</v>
      </c>
      <c r="C86" s="379">
        <v>0</v>
      </c>
      <c r="D86" s="380">
        <v>0</v>
      </c>
      <c r="E86" s="380">
        <v>0</v>
      </c>
      <c r="F86" s="380">
        <v>0</v>
      </c>
      <c r="G86" s="380">
        <v>0</v>
      </c>
      <c r="H86" s="380">
        <v>0</v>
      </c>
      <c r="I86" s="380">
        <v>0</v>
      </c>
      <c r="J86" s="380">
        <v>0</v>
      </c>
      <c r="K86" s="380">
        <v>0</v>
      </c>
      <c r="L86" s="380">
        <v>0</v>
      </c>
      <c r="M86" s="159" t="s">
        <v>807</v>
      </c>
      <c r="N86" s="159"/>
      <c r="O86" s="159"/>
    </row>
    <row r="87" spans="1:15" ht="19.5" customHeight="1" thickTop="1">
      <c r="A87" s="239" t="s">
        <v>494</v>
      </c>
      <c r="B87" s="381"/>
      <c r="C87" s="381"/>
      <c r="D87" s="381"/>
      <c r="E87" s="381"/>
      <c r="F87" s="381"/>
      <c r="G87" s="381"/>
      <c r="H87" s="381"/>
      <c r="I87" s="381"/>
      <c r="J87" s="381"/>
      <c r="K87" s="381"/>
      <c r="L87" s="381"/>
      <c r="M87" s="159"/>
      <c r="N87" s="159"/>
      <c r="O87" s="159"/>
    </row>
    <row r="88" spans="1:15" ht="19.5" customHeight="1">
      <c r="A88" s="382" t="s">
        <v>631</v>
      </c>
      <c r="B88" s="240"/>
      <c r="C88" s="240"/>
      <c r="D88" s="240"/>
      <c r="E88" s="240"/>
      <c r="F88" s="240"/>
      <c r="G88" s="383"/>
      <c r="H88" s="384" t="s">
        <v>55</v>
      </c>
      <c r="I88" s="159"/>
      <c r="J88" s="159"/>
      <c r="K88" s="159"/>
      <c r="L88" s="159"/>
      <c r="M88" s="159"/>
      <c r="N88" s="159"/>
      <c r="O88" s="159"/>
    </row>
    <row r="89" spans="1:15" ht="19.5" customHeight="1">
      <c r="A89" s="382" t="s">
        <v>263</v>
      </c>
      <c r="B89" s="240"/>
      <c r="C89" s="240" t="s">
        <v>264</v>
      </c>
      <c r="D89" s="240"/>
      <c r="E89" s="240"/>
      <c r="F89" s="240"/>
      <c r="G89" s="383"/>
      <c r="H89" s="384"/>
      <c r="I89" s="159"/>
      <c r="J89" s="159"/>
      <c r="K89" s="159"/>
      <c r="L89" s="159"/>
      <c r="M89" s="159"/>
      <c r="N89" s="159"/>
      <c r="O89" s="159"/>
    </row>
    <row r="90" spans="1:13" s="336" customFormat="1" ht="19.5" customHeight="1">
      <c r="A90" s="385" t="s">
        <v>156</v>
      </c>
      <c r="B90" s="386">
        <f>SUM(C90:L90)</f>
        <v>1</v>
      </c>
      <c r="C90" s="387">
        <f>1-SUM(D90:L90)</f>
        <v>1</v>
      </c>
      <c r="D90" s="388">
        <f aca="true" t="shared" si="33" ref="D90:L90">IF(D54=0,0,ROUND(D149/採用最大床面積計,5))</f>
        <v>0</v>
      </c>
      <c r="E90" s="388">
        <f t="shared" si="33"/>
        <v>0</v>
      </c>
      <c r="F90" s="388">
        <f t="shared" si="33"/>
        <v>0</v>
      </c>
      <c r="G90" s="388">
        <f t="shared" si="33"/>
        <v>0</v>
      </c>
      <c r="H90" s="388">
        <f t="shared" si="33"/>
        <v>0</v>
      </c>
      <c r="I90" s="388">
        <f t="shared" si="33"/>
        <v>0</v>
      </c>
      <c r="J90" s="388">
        <f t="shared" si="33"/>
        <v>0</v>
      </c>
      <c r="K90" s="388">
        <f t="shared" si="33"/>
        <v>0</v>
      </c>
      <c r="L90" s="388">
        <f t="shared" si="33"/>
        <v>0</v>
      </c>
      <c r="M90" s="333" t="s">
        <v>770</v>
      </c>
    </row>
    <row r="91" spans="1:15" ht="19.5" customHeight="1" thickBot="1">
      <c r="A91" s="382" t="s">
        <v>826</v>
      </c>
      <c r="B91" s="240"/>
      <c r="C91" s="240"/>
      <c r="D91" s="240"/>
      <c r="E91" s="240"/>
      <c r="F91" s="240"/>
      <c r="G91" s="383"/>
      <c r="H91" s="384"/>
      <c r="I91" s="159"/>
      <c r="J91" s="159"/>
      <c r="K91" s="159"/>
      <c r="L91" s="159"/>
      <c r="M91" s="159"/>
      <c r="N91" s="159"/>
      <c r="O91" s="159"/>
    </row>
    <row r="92" spans="1:15" ht="19.5" customHeight="1" thickTop="1">
      <c r="A92" s="389" t="s">
        <v>948</v>
      </c>
      <c r="B92" s="390">
        <f>B34</f>
        <v>23750000</v>
      </c>
      <c r="C92" s="240"/>
      <c r="D92" s="240"/>
      <c r="E92" s="240"/>
      <c r="F92" s="240"/>
      <c r="G92" s="383"/>
      <c r="H92" s="384"/>
      <c r="I92" s="159"/>
      <c r="J92" s="159"/>
      <c r="K92" s="159"/>
      <c r="L92" s="159"/>
      <c r="M92" s="159"/>
      <c r="N92" s="159"/>
      <c r="O92" s="159"/>
    </row>
    <row r="93" spans="1:15" ht="19.5" customHeight="1">
      <c r="A93" s="391" t="s">
        <v>949</v>
      </c>
      <c r="B93" s="392">
        <f>B65</f>
        <v>2238000</v>
      </c>
      <c r="C93" s="393" t="s">
        <v>234</v>
      </c>
      <c r="D93" s="240"/>
      <c r="E93" s="240"/>
      <c r="F93" s="240"/>
      <c r="G93" s="383"/>
      <c r="H93" s="384"/>
      <c r="I93" s="159"/>
      <c r="J93" s="159"/>
      <c r="K93" s="159"/>
      <c r="L93" s="159"/>
      <c r="M93" s="159"/>
      <c r="N93" s="159"/>
      <c r="O93" s="159"/>
    </row>
    <row r="94" spans="1:15" ht="19.5" customHeight="1">
      <c r="A94" s="391" t="s">
        <v>952</v>
      </c>
      <c r="B94" s="392">
        <f>B92+B93</f>
        <v>25988000</v>
      </c>
      <c r="C94" s="393" t="s">
        <v>290</v>
      </c>
      <c r="D94" s="240"/>
      <c r="E94" s="240"/>
      <c r="F94" s="240"/>
      <c r="G94" s="383"/>
      <c r="H94" s="384"/>
      <c r="I94" s="159"/>
      <c r="J94" s="159"/>
      <c r="K94" s="159"/>
      <c r="L94" s="159"/>
      <c r="M94" s="159"/>
      <c r="N94" s="159"/>
      <c r="O94" s="159"/>
    </row>
    <row r="95" spans="1:15" ht="19.5" customHeight="1">
      <c r="A95" s="391" t="s">
        <v>950</v>
      </c>
      <c r="B95" s="394">
        <f>B82</f>
        <v>1</v>
      </c>
      <c r="C95" s="395" t="s">
        <v>884</v>
      </c>
      <c r="D95" s="396"/>
      <c r="E95" s="396"/>
      <c r="F95" s="396"/>
      <c r="G95" s="397"/>
      <c r="H95" s="398"/>
      <c r="I95" s="399"/>
      <c r="J95" s="159"/>
      <c r="K95" s="159"/>
      <c r="L95" s="159"/>
      <c r="M95" s="159"/>
      <c r="N95" s="159"/>
      <c r="O95" s="159"/>
    </row>
    <row r="96" spans="1:15" ht="19.5" customHeight="1">
      <c r="A96" s="391" t="s">
        <v>951</v>
      </c>
      <c r="B96" s="392">
        <f>B94*B95</f>
        <v>25988000</v>
      </c>
      <c r="C96" s="393" t="s">
        <v>352</v>
      </c>
      <c r="D96" s="240"/>
      <c r="E96" s="240"/>
      <c r="F96" s="240" t="s">
        <v>987</v>
      </c>
      <c r="G96" s="383"/>
      <c r="H96" s="400"/>
      <c r="I96" s="311"/>
      <c r="J96" s="159"/>
      <c r="K96" s="159"/>
      <c r="L96" s="159"/>
      <c r="M96" s="159"/>
      <c r="N96" s="159"/>
      <c r="O96" s="159"/>
    </row>
    <row r="97" spans="1:15" ht="19.5" customHeight="1">
      <c r="A97" s="374" t="s">
        <v>520</v>
      </c>
      <c r="B97" s="401">
        <v>1</v>
      </c>
      <c r="C97" s="402" t="s">
        <v>885</v>
      </c>
      <c r="D97" s="396"/>
      <c r="E97" s="396"/>
      <c r="F97" s="396"/>
      <c r="G97" s="397"/>
      <c r="H97" s="398"/>
      <c r="I97" s="399"/>
      <c r="J97" s="159"/>
      <c r="K97" s="159"/>
      <c r="L97" s="159"/>
      <c r="M97" s="159"/>
      <c r="N97" s="159"/>
      <c r="O97" s="159"/>
    </row>
    <row r="98" spans="1:15" ht="19.5" customHeight="1">
      <c r="A98" s="374" t="s">
        <v>490</v>
      </c>
      <c r="B98" s="394">
        <f>競売固有補正率</f>
        <v>1</v>
      </c>
      <c r="C98" s="311"/>
      <c r="D98" s="240"/>
      <c r="E98" s="240"/>
      <c r="F98" s="240"/>
      <c r="G98" s="383"/>
      <c r="H98" s="400"/>
      <c r="I98" s="311"/>
      <c r="J98" s="159"/>
      <c r="K98" s="159"/>
      <c r="L98" s="159"/>
      <c r="M98" s="159"/>
      <c r="N98" s="159"/>
      <c r="O98" s="159"/>
    </row>
    <row r="99" spans="1:15" ht="19.5" customHeight="1" thickBot="1">
      <c r="A99" s="403" t="s">
        <v>953</v>
      </c>
      <c r="B99" s="404">
        <f>ROUND(B96*用途性補正率*B98,総額処理桁Ａ)</f>
        <v>25990000</v>
      </c>
      <c r="C99" s="393" t="s">
        <v>493</v>
      </c>
      <c r="D99" s="240"/>
      <c r="E99" s="240"/>
      <c r="F99" s="240"/>
      <c r="G99" s="383"/>
      <c r="H99" s="384"/>
      <c r="I99" s="159"/>
      <c r="J99" s="159"/>
      <c r="K99" s="159"/>
      <c r="L99" s="159"/>
      <c r="M99" s="159"/>
      <c r="N99" s="159"/>
      <c r="O99" s="159"/>
    </row>
    <row r="100" spans="1:15" ht="19.5" customHeight="1" thickTop="1">
      <c r="A100" s="382"/>
      <c r="B100" s="240"/>
      <c r="C100" s="240"/>
      <c r="D100" s="240"/>
      <c r="E100" s="240"/>
      <c r="F100" s="240"/>
      <c r="G100" s="383"/>
      <c r="H100" s="384"/>
      <c r="I100" s="159"/>
      <c r="J100" s="159"/>
      <c r="K100" s="159"/>
      <c r="L100" s="159"/>
      <c r="M100" s="159"/>
      <c r="N100" s="159"/>
      <c r="O100" s="159"/>
    </row>
    <row r="101" spans="1:15" ht="19.5" customHeight="1">
      <c r="A101" s="382"/>
      <c r="B101" s="240"/>
      <c r="C101" s="240"/>
      <c r="D101" s="240"/>
      <c r="E101" s="240"/>
      <c r="F101" s="240"/>
      <c r="G101" s="383"/>
      <c r="H101" s="384"/>
      <c r="I101" s="159"/>
      <c r="J101" s="159"/>
      <c r="K101" s="159"/>
      <c r="L101" s="159"/>
      <c r="M101" s="159"/>
      <c r="N101" s="159"/>
      <c r="O101" s="159"/>
    </row>
    <row r="102" spans="1:15" ht="19.5" customHeight="1">
      <c r="A102" s="382"/>
      <c r="B102" s="240"/>
      <c r="C102" s="240"/>
      <c r="D102" s="240"/>
      <c r="E102" s="240"/>
      <c r="F102" s="240"/>
      <c r="G102" s="383"/>
      <c r="H102" s="384"/>
      <c r="I102" s="159"/>
      <c r="J102" s="159"/>
      <c r="K102" s="159"/>
      <c r="L102" s="159"/>
      <c r="M102" s="159"/>
      <c r="N102" s="159"/>
      <c r="O102" s="159"/>
    </row>
    <row r="103" spans="1:15" ht="19.5" customHeight="1">
      <c r="A103" s="382"/>
      <c r="B103" s="240"/>
      <c r="C103" s="240"/>
      <c r="D103" s="240"/>
      <c r="E103" s="240"/>
      <c r="F103" s="240"/>
      <c r="G103" s="383"/>
      <c r="H103" s="384"/>
      <c r="I103" s="159"/>
      <c r="J103" s="159"/>
      <c r="K103" s="159"/>
      <c r="L103" s="159"/>
      <c r="M103" s="159"/>
      <c r="N103" s="159"/>
      <c r="O103" s="159"/>
    </row>
    <row r="104" spans="1:15" ht="19.5" customHeight="1" hidden="1" thickBot="1">
      <c r="A104" s="219" t="s">
        <v>259</v>
      </c>
      <c r="B104" s="405"/>
      <c r="C104" s="393"/>
      <c r="D104" s="406" t="s">
        <v>6</v>
      </c>
      <c r="E104" s="216"/>
      <c r="F104" s="216"/>
      <c r="G104" s="159"/>
      <c r="H104" s="159"/>
      <c r="I104" s="216"/>
      <c r="J104" s="159"/>
      <c r="K104" s="159"/>
      <c r="L104" s="159"/>
      <c r="M104" s="159"/>
      <c r="N104" s="159"/>
      <c r="O104" s="159"/>
    </row>
    <row r="105" spans="1:15" ht="19.5" customHeight="1" hidden="1" thickTop="1">
      <c r="A105" s="407" t="s">
        <v>414</v>
      </c>
      <c r="B105" s="408" t="str">
        <f>'基礎'!E29</f>
        <v>1～2</v>
      </c>
      <c r="C105" s="952" t="s">
        <v>415</v>
      </c>
      <c r="D105" s="953"/>
      <c r="E105" s="216"/>
      <c r="F105" s="979" t="str">
        <f>IF(B38-C38=0," ","入力錯誤か、権利錯綜にご注意")</f>
        <v>入力錯誤か、権利錯綜にご注意</v>
      </c>
      <c r="G105" s="980"/>
      <c r="H105" s="980"/>
      <c r="I105" s="981"/>
      <c r="J105" s="159"/>
      <c r="K105" s="159"/>
      <c r="L105" s="159"/>
      <c r="M105" s="159"/>
      <c r="N105" s="159"/>
      <c r="O105" s="159"/>
    </row>
    <row r="106" spans="1:15" ht="19.5" customHeight="1" hidden="1">
      <c r="A106" s="409" t="s">
        <v>550</v>
      </c>
      <c r="B106" s="410">
        <f>B37</f>
        <v>23750000</v>
      </c>
      <c r="C106" s="950" t="s">
        <v>314</v>
      </c>
      <c r="D106" s="951"/>
      <c r="E106" s="216"/>
      <c r="F106" s="982"/>
      <c r="G106" s="983"/>
      <c r="H106" s="983"/>
      <c r="I106" s="984"/>
      <c r="J106" s="159"/>
      <c r="K106" s="159"/>
      <c r="L106" s="159"/>
      <c r="M106" s="159"/>
      <c r="N106" s="159"/>
      <c r="O106" s="159"/>
    </row>
    <row r="107" spans="1:15" ht="19.5" customHeight="1" hidden="1">
      <c r="A107" s="409" t="s">
        <v>416</v>
      </c>
      <c r="B107" s="411">
        <f>B40</f>
        <v>0.44999999999999996</v>
      </c>
      <c r="C107" s="944" t="s">
        <v>654</v>
      </c>
      <c r="D107" s="945"/>
      <c r="E107" s="216"/>
      <c r="F107" s="982" t="str">
        <f>IF(C38-C72=0," ","権利錯綜か入力錯誤に御注意")</f>
        <v>権利錯綜か入力錯誤に御注意</v>
      </c>
      <c r="G107" s="983"/>
      <c r="H107" s="983"/>
      <c r="I107" s="984"/>
      <c r="J107" s="159"/>
      <c r="K107" s="159"/>
      <c r="L107" s="159"/>
      <c r="M107" s="159"/>
      <c r="N107" s="159"/>
      <c r="O107" s="159"/>
    </row>
    <row r="108" spans="1:15" ht="19.5" customHeight="1" hidden="1">
      <c r="A108" s="409" t="s">
        <v>521</v>
      </c>
      <c r="B108" s="412">
        <f>占有補正現価率</f>
        <v>1</v>
      </c>
      <c r="C108" s="948"/>
      <c r="D108" s="949"/>
      <c r="E108" s="216"/>
      <c r="F108" s="985" t="str">
        <f>IF(B38=C38," ","底地入力")</f>
        <v>底地入力</v>
      </c>
      <c r="G108" s="986"/>
      <c r="H108" s="986"/>
      <c r="I108" s="987"/>
      <c r="J108" s="159"/>
      <c r="K108" s="159"/>
      <c r="L108" s="159"/>
      <c r="M108" s="159"/>
      <c r="N108" s="159"/>
      <c r="O108" s="159"/>
    </row>
    <row r="109" spans="1:15" ht="19.5" customHeight="1" hidden="1" thickBot="1">
      <c r="A109" s="413" t="s">
        <v>657</v>
      </c>
      <c r="B109" s="414">
        <f>ROUNDDOWN(B106*B107*B108,0)</f>
        <v>10687500</v>
      </c>
      <c r="C109" s="946"/>
      <c r="D109" s="947"/>
      <c r="E109" s="216"/>
      <c r="F109" s="985" t="str">
        <f>IF(B38=C72," ","敷地権入力")</f>
        <v>敷地権入力</v>
      </c>
      <c r="G109" s="986"/>
      <c r="H109" s="986"/>
      <c r="I109" s="987"/>
      <c r="J109" s="159"/>
      <c r="K109" s="159"/>
      <c r="L109" s="159"/>
      <c r="M109" s="159"/>
      <c r="N109" s="159"/>
      <c r="O109" s="159"/>
    </row>
    <row r="110" spans="1:15" ht="19.5" customHeight="1" hidden="1" thickTop="1">
      <c r="A110" s="407" t="s">
        <v>658</v>
      </c>
      <c r="B110" s="415">
        <f>B76</f>
        <v>15300500</v>
      </c>
      <c r="C110" s="950" t="s">
        <v>659</v>
      </c>
      <c r="D110" s="951"/>
      <c r="E110" s="216"/>
      <c r="F110" s="976" t="s">
        <v>660</v>
      </c>
      <c r="G110" s="977"/>
      <c r="H110" s="977"/>
      <c r="I110" s="978"/>
      <c r="J110" s="159"/>
      <c r="K110" s="159"/>
      <c r="L110" s="159"/>
      <c r="M110" s="159"/>
      <c r="N110" s="159"/>
      <c r="O110" s="159"/>
    </row>
    <row r="111" spans="1:15" ht="19.5" customHeight="1" hidden="1">
      <c r="A111" s="416" t="s">
        <v>109</v>
      </c>
      <c r="B111" s="417" t="s">
        <v>109</v>
      </c>
      <c r="C111" s="944" t="s">
        <v>670</v>
      </c>
      <c r="D111" s="945"/>
      <c r="E111" s="216"/>
      <c r="F111" s="976"/>
      <c r="G111" s="977"/>
      <c r="H111" s="977"/>
      <c r="I111" s="978"/>
      <c r="J111" s="159"/>
      <c r="K111" s="159"/>
      <c r="L111" s="159"/>
      <c r="M111" s="159"/>
      <c r="N111" s="159"/>
      <c r="O111" s="159"/>
    </row>
    <row r="112" spans="1:15" ht="19.5" customHeight="1" hidden="1">
      <c r="A112" s="416" t="s">
        <v>671</v>
      </c>
      <c r="B112" s="418">
        <f>B78</f>
        <v>1</v>
      </c>
      <c r="C112" s="948"/>
      <c r="D112" s="949"/>
      <c r="E112" s="216"/>
      <c r="F112" s="976"/>
      <c r="G112" s="977"/>
      <c r="H112" s="977"/>
      <c r="I112" s="978"/>
      <c r="J112" s="159"/>
      <c r="K112" s="159"/>
      <c r="L112" s="159"/>
      <c r="M112" s="159"/>
      <c r="N112" s="159"/>
      <c r="O112" s="159"/>
    </row>
    <row r="113" spans="1:15" ht="19.5" customHeight="1" hidden="1">
      <c r="A113" s="409" t="s">
        <v>672</v>
      </c>
      <c r="B113" s="419">
        <f>B79</f>
        <v>1</v>
      </c>
      <c r="C113" s="946"/>
      <c r="D113" s="947"/>
      <c r="E113" s="216"/>
      <c r="F113" s="976"/>
      <c r="G113" s="977"/>
      <c r="H113" s="977"/>
      <c r="I113" s="978"/>
      <c r="J113" s="159"/>
      <c r="K113" s="159"/>
      <c r="L113" s="159"/>
      <c r="M113" s="159"/>
      <c r="N113" s="159"/>
      <c r="O113" s="159"/>
    </row>
    <row r="114" spans="1:15" ht="19.5" customHeight="1" hidden="1">
      <c r="A114" s="420" t="s">
        <v>673</v>
      </c>
      <c r="B114" s="421">
        <f>B110*B112*B113</f>
        <v>15300500</v>
      </c>
      <c r="C114" s="948" t="s">
        <v>341</v>
      </c>
      <c r="D114" s="949"/>
      <c r="E114" s="216"/>
      <c r="F114" s="976"/>
      <c r="G114" s="977"/>
      <c r="H114" s="977"/>
      <c r="I114" s="978"/>
      <c r="J114" s="159"/>
      <c r="K114" s="159"/>
      <c r="L114" s="159"/>
      <c r="M114" s="159"/>
      <c r="N114" s="159"/>
      <c r="O114" s="159"/>
    </row>
    <row r="115" spans="1:15" ht="19.5" customHeight="1" hidden="1">
      <c r="A115" s="409" t="s">
        <v>552</v>
      </c>
      <c r="B115" s="412" t="str">
        <f>B81</f>
        <v>無し</v>
      </c>
      <c r="C115" s="948"/>
      <c r="D115" s="949"/>
      <c r="E115" s="216"/>
      <c r="F115" s="970"/>
      <c r="G115" s="971"/>
      <c r="H115" s="971"/>
      <c r="I115" s="972"/>
      <c r="J115" s="159"/>
      <c r="K115" s="159"/>
      <c r="L115" s="159"/>
      <c r="M115" s="159"/>
      <c r="N115" s="159"/>
      <c r="O115" s="159"/>
    </row>
    <row r="116" spans="1:15" ht="19.5" customHeight="1" hidden="1">
      <c r="A116" s="409" t="s">
        <v>714</v>
      </c>
      <c r="B116" s="412">
        <f>B82</f>
        <v>1</v>
      </c>
      <c r="C116" s="946"/>
      <c r="D116" s="947"/>
      <c r="E116" s="216"/>
      <c r="F116" s="970"/>
      <c r="G116" s="971"/>
      <c r="H116" s="971"/>
      <c r="I116" s="972"/>
      <c r="J116" s="159"/>
      <c r="K116" s="159"/>
      <c r="L116" s="159"/>
      <c r="M116" s="159"/>
      <c r="N116" s="159"/>
      <c r="O116" s="159"/>
    </row>
    <row r="117" spans="1:15" ht="19.5" customHeight="1" hidden="1" thickBot="1">
      <c r="A117" s="422" t="s">
        <v>715</v>
      </c>
      <c r="B117" s="423">
        <f>ROUNDDOWN(B114*B116,0)</f>
        <v>15300500</v>
      </c>
      <c r="C117" s="944" t="s">
        <v>584</v>
      </c>
      <c r="D117" s="945"/>
      <c r="E117" s="216"/>
      <c r="F117" s="973"/>
      <c r="G117" s="974"/>
      <c r="H117" s="974"/>
      <c r="I117" s="975"/>
      <c r="J117" s="159"/>
      <c r="K117" s="159"/>
      <c r="L117" s="159"/>
      <c r="M117" s="159"/>
      <c r="N117" s="159"/>
      <c r="O117" s="159"/>
    </row>
    <row r="118" spans="1:15" ht="19.5" customHeight="1" hidden="1" thickTop="1">
      <c r="A118" s="407" t="s">
        <v>585</v>
      </c>
      <c r="B118" s="415">
        <f>B109+B117</f>
        <v>25988000</v>
      </c>
      <c r="C118" s="946"/>
      <c r="D118" s="947"/>
      <c r="E118" s="216"/>
      <c r="F118" s="955" t="str">
        <f>IF(OR(一括評価額&lt;30000,B85&lt;30000,B45&lt;30000),"総額１万未満端数処理桁","　")</f>
        <v>　</v>
      </c>
      <c r="G118" s="955"/>
      <c r="H118" s="956" t="s">
        <v>476</v>
      </c>
      <c r="I118" s="957"/>
      <c r="J118" s="159"/>
      <c r="K118" s="159"/>
      <c r="L118" s="159"/>
      <c r="M118" s="159"/>
      <c r="N118" s="159"/>
      <c r="O118" s="159"/>
    </row>
    <row r="119" spans="1:15" ht="19.5" customHeight="1" hidden="1">
      <c r="A119" s="264" t="s">
        <v>520</v>
      </c>
      <c r="B119" s="417">
        <f>用途性補正率</f>
        <v>1</v>
      </c>
      <c r="C119" s="962" t="s">
        <v>477</v>
      </c>
      <c r="D119" s="963"/>
      <c r="E119" s="216"/>
      <c r="F119" s="954">
        <v>0</v>
      </c>
      <c r="G119" s="954"/>
      <c r="H119" s="954">
        <v>-4</v>
      </c>
      <c r="I119" s="954"/>
      <c r="J119" s="159"/>
      <c r="K119" s="159"/>
      <c r="L119" s="159"/>
      <c r="M119" s="159"/>
      <c r="N119" s="159"/>
      <c r="O119" s="159"/>
    </row>
    <row r="120" spans="1:15" ht="19.5" customHeight="1" hidden="1">
      <c r="A120" s="264" t="s">
        <v>490</v>
      </c>
      <c r="B120" s="412">
        <f>競売固有補正率</f>
        <v>1</v>
      </c>
      <c r="C120" s="964"/>
      <c r="D120" s="965"/>
      <c r="E120" s="159"/>
      <c r="F120" s="424"/>
      <c r="G120" s="424"/>
      <c r="H120" s="424"/>
      <c r="I120" s="424"/>
      <c r="J120" s="159"/>
      <c r="K120" s="159"/>
      <c r="L120" s="159"/>
      <c r="M120" s="159"/>
      <c r="N120" s="159"/>
      <c r="O120" s="159"/>
    </row>
    <row r="121" spans="1:15" ht="19.5" customHeight="1" hidden="1" thickBot="1">
      <c r="A121" s="422" t="s">
        <v>589</v>
      </c>
      <c r="B121" s="423">
        <f>ROUND(B118*B119*B120,総額処理桁Ａ)</f>
        <v>25990000</v>
      </c>
      <c r="C121" s="966"/>
      <c r="D121" s="967"/>
      <c r="E121" s="159"/>
      <c r="F121" s="424"/>
      <c r="G121" s="424"/>
      <c r="H121" s="424"/>
      <c r="I121" s="424"/>
      <c r="J121" s="159"/>
      <c r="K121" s="159"/>
      <c r="L121" s="159"/>
      <c r="M121" s="159"/>
      <c r="N121" s="159"/>
      <c r="O121" s="159"/>
    </row>
    <row r="122" spans="1:15" ht="19.5" customHeight="1" hidden="1" thickBot="1" thickTop="1">
      <c r="A122" s="413" t="s">
        <v>557</v>
      </c>
      <c r="B122" s="959" t="s">
        <v>590</v>
      </c>
      <c r="C122" s="960"/>
      <c r="D122" s="961"/>
      <c r="E122" s="159"/>
      <c r="F122" s="424"/>
      <c r="G122" s="424"/>
      <c r="H122" s="424"/>
      <c r="I122" s="424"/>
      <c r="J122" s="159"/>
      <c r="K122" s="159"/>
      <c r="L122" s="159"/>
      <c r="M122" s="159"/>
      <c r="N122" s="159"/>
      <c r="O122" s="159"/>
    </row>
    <row r="123" spans="1:15" ht="12">
      <c r="A123" s="405" t="s">
        <v>591</v>
      </c>
      <c r="B123" s="405" t="s">
        <v>591</v>
      </c>
      <c r="C123" s="216"/>
      <c r="D123" s="216"/>
      <c r="E123" s="159"/>
      <c r="F123" s="216"/>
      <c r="G123" s="159"/>
      <c r="H123" s="159"/>
      <c r="I123" s="216"/>
      <c r="J123" s="159"/>
      <c r="K123" s="159"/>
      <c r="L123" s="159"/>
      <c r="M123" s="159"/>
      <c r="N123" s="159"/>
      <c r="O123" s="159"/>
    </row>
    <row r="124" spans="1:15" ht="12">
      <c r="A124" s="33" t="s">
        <v>110</v>
      </c>
      <c r="B124" s="405"/>
      <c r="C124" s="216"/>
      <c r="D124" s="216"/>
      <c r="E124" s="159"/>
      <c r="F124" s="216"/>
      <c r="G124" s="159"/>
      <c r="H124" s="159"/>
      <c r="I124" s="216"/>
      <c r="J124" s="159"/>
      <c r="K124" s="159"/>
      <c r="L124" s="159"/>
      <c r="M124" s="159"/>
      <c r="N124" s="159"/>
      <c r="O124" s="159"/>
    </row>
    <row r="125" spans="1:15" ht="12" hidden="1">
      <c r="A125" s="80" t="s">
        <v>594</v>
      </c>
      <c r="B125" s="425"/>
      <c r="C125" s="159"/>
      <c r="D125" s="159"/>
      <c r="E125" s="159"/>
      <c r="F125" s="159"/>
      <c r="G125" s="159"/>
      <c r="H125" s="159"/>
      <c r="I125" s="159"/>
      <c r="J125" s="159"/>
      <c r="K125" s="159"/>
      <c r="L125" s="159"/>
      <c r="M125" s="159"/>
      <c r="N125" s="159"/>
      <c r="O125" s="159"/>
    </row>
    <row r="126" spans="1:15" ht="12" hidden="1">
      <c r="A126" s="130" t="s">
        <v>805</v>
      </c>
      <c r="B126" s="130" t="s">
        <v>595</v>
      </c>
      <c r="C126" s="130" t="str">
        <f>C50</f>
        <v>2</v>
      </c>
      <c r="D126" s="130">
        <f aca="true" t="shared" si="34" ref="D126:L126">D50</f>
        <v>0</v>
      </c>
      <c r="E126" s="130">
        <f t="shared" si="34"/>
        <v>0</v>
      </c>
      <c r="F126" s="130">
        <f t="shared" si="34"/>
        <v>0</v>
      </c>
      <c r="G126" s="130">
        <f t="shared" si="34"/>
        <v>0</v>
      </c>
      <c r="H126" s="130">
        <f t="shared" si="34"/>
        <v>0</v>
      </c>
      <c r="I126" s="130">
        <f t="shared" si="34"/>
        <v>0</v>
      </c>
      <c r="J126" s="130">
        <f t="shared" si="34"/>
        <v>0</v>
      </c>
      <c r="K126" s="130">
        <f t="shared" si="34"/>
        <v>0</v>
      </c>
      <c r="L126" s="130">
        <f t="shared" si="34"/>
        <v>0</v>
      </c>
      <c r="M126" s="159"/>
      <c r="N126" s="159"/>
      <c r="O126" s="159"/>
    </row>
    <row r="127" spans="1:15" ht="12" hidden="1">
      <c r="A127" s="148" t="s">
        <v>744</v>
      </c>
      <c r="B127" s="426">
        <f>SUM(C127:L127)</f>
        <v>0</v>
      </c>
      <c r="C127" s="427">
        <f aca="true" t="shared" si="35" ref="C127:L127">IF(C50=0,0,C74*(C67/敷地相当地積))</f>
        <v>0</v>
      </c>
      <c r="D127" s="427">
        <f t="shared" si="35"/>
        <v>0</v>
      </c>
      <c r="E127" s="427">
        <f t="shared" si="35"/>
        <v>0</v>
      </c>
      <c r="F127" s="427">
        <f t="shared" si="35"/>
        <v>0</v>
      </c>
      <c r="G127" s="427">
        <f t="shared" si="35"/>
        <v>0</v>
      </c>
      <c r="H127" s="427">
        <f t="shared" si="35"/>
        <v>0</v>
      </c>
      <c r="I127" s="427">
        <f t="shared" si="35"/>
        <v>0</v>
      </c>
      <c r="J127" s="427">
        <f t="shared" si="35"/>
        <v>0</v>
      </c>
      <c r="K127" s="427">
        <f t="shared" si="35"/>
        <v>0</v>
      </c>
      <c r="L127" s="427">
        <f t="shared" si="35"/>
        <v>0</v>
      </c>
      <c r="M127" s="159"/>
      <c r="N127" s="159"/>
      <c r="O127" s="159"/>
    </row>
    <row r="128" spans="1:15" ht="12" hidden="1">
      <c r="A128" s="425"/>
      <c r="B128" s="428"/>
      <c r="C128" s="429"/>
      <c r="D128" s="429"/>
      <c r="E128" s="429"/>
      <c r="F128" s="429"/>
      <c r="G128" s="429"/>
      <c r="H128" s="429"/>
      <c r="I128" s="429"/>
      <c r="J128" s="429"/>
      <c r="K128" s="429"/>
      <c r="L128" s="429"/>
      <c r="M128" s="159"/>
      <c r="N128" s="159"/>
      <c r="O128" s="159"/>
    </row>
    <row r="129" spans="1:15" ht="12" hidden="1">
      <c r="A129" s="139" t="s">
        <v>602</v>
      </c>
      <c r="B129" s="425"/>
      <c r="C129" s="159"/>
      <c r="D129" s="159"/>
      <c r="E129" s="159"/>
      <c r="F129" s="159"/>
      <c r="G129" s="159"/>
      <c r="H129" s="159"/>
      <c r="I129" s="159"/>
      <c r="J129" s="159"/>
      <c r="K129" s="159"/>
      <c r="L129" s="159"/>
      <c r="M129" s="159"/>
      <c r="N129" s="159"/>
      <c r="O129" s="159"/>
    </row>
    <row r="130" spans="1:15" ht="12" hidden="1">
      <c r="A130" s="130" t="s">
        <v>805</v>
      </c>
      <c r="B130" s="130" t="s">
        <v>595</v>
      </c>
      <c r="C130" s="148" t="str">
        <f aca="true" t="shared" si="36" ref="C130:L130">C23</f>
        <v>1</v>
      </c>
      <c r="D130" s="148">
        <f t="shared" si="36"/>
        <v>0</v>
      </c>
      <c r="E130" s="148">
        <f t="shared" si="36"/>
        <v>0</v>
      </c>
      <c r="F130" s="148">
        <f t="shared" si="36"/>
        <v>0</v>
      </c>
      <c r="G130" s="148">
        <f t="shared" si="36"/>
        <v>0</v>
      </c>
      <c r="H130" s="148">
        <f t="shared" si="36"/>
        <v>0</v>
      </c>
      <c r="I130" s="148">
        <f t="shared" si="36"/>
        <v>0</v>
      </c>
      <c r="J130" s="148">
        <f t="shared" si="36"/>
        <v>0</v>
      </c>
      <c r="K130" s="148">
        <f t="shared" si="36"/>
        <v>0</v>
      </c>
      <c r="L130" s="148">
        <f t="shared" si="36"/>
        <v>0</v>
      </c>
      <c r="M130" s="159"/>
      <c r="N130" s="159"/>
      <c r="O130" s="159"/>
    </row>
    <row r="131" spans="1:15" ht="12" hidden="1">
      <c r="A131" s="409" t="s">
        <v>603</v>
      </c>
      <c r="B131" s="430">
        <f>SUM(C131:L131)</f>
        <v>11880000</v>
      </c>
      <c r="C131" s="430">
        <f>ROUND(C45,総額処理桁Ａ)</f>
        <v>11880000</v>
      </c>
      <c r="D131" s="430">
        <f aca="true" t="shared" si="37" ref="D131:L131">ROUND(D45,総額処理桁Ａ)</f>
        <v>0</v>
      </c>
      <c r="E131" s="430">
        <f t="shared" si="37"/>
        <v>0</v>
      </c>
      <c r="F131" s="430">
        <f t="shared" si="37"/>
        <v>0</v>
      </c>
      <c r="G131" s="430">
        <f t="shared" si="37"/>
        <v>0</v>
      </c>
      <c r="H131" s="430">
        <f t="shared" si="37"/>
        <v>0</v>
      </c>
      <c r="I131" s="430">
        <f t="shared" si="37"/>
        <v>0</v>
      </c>
      <c r="J131" s="430">
        <f t="shared" si="37"/>
        <v>0</v>
      </c>
      <c r="K131" s="430">
        <f t="shared" si="37"/>
        <v>0</v>
      </c>
      <c r="L131" s="430">
        <f t="shared" si="37"/>
        <v>0</v>
      </c>
      <c r="M131" s="159"/>
      <c r="N131" s="159"/>
      <c r="O131" s="159"/>
    </row>
    <row r="132" spans="1:15" ht="12" hidden="1">
      <c r="A132" s="409" t="s">
        <v>604</v>
      </c>
      <c r="B132" s="431">
        <f>SUM(C132:L132)</f>
        <v>0.8413597733711048</v>
      </c>
      <c r="C132" s="431">
        <f>1-SUM(D132:L132)-B137</f>
        <v>0.8413597733711048</v>
      </c>
      <c r="D132" s="431">
        <f aca="true" t="shared" si="38" ref="D132:L132">D131/個別合計</f>
        <v>0</v>
      </c>
      <c r="E132" s="431">
        <f t="shared" si="38"/>
        <v>0</v>
      </c>
      <c r="F132" s="431">
        <f t="shared" si="38"/>
        <v>0</v>
      </c>
      <c r="G132" s="431">
        <f t="shared" si="38"/>
        <v>0</v>
      </c>
      <c r="H132" s="431">
        <f t="shared" si="38"/>
        <v>0</v>
      </c>
      <c r="I132" s="431">
        <f t="shared" si="38"/>
        <v>0</v>
      </c>
      <c r="J132" s="431">
        <f t="shared" si="38"/>
        <v>0</v>
      </c>
      <c r="K132" s="431">
        <f t="shared" si="38"/>
        <v>0</v>
      </c>
      <c r="L132" s="431">
        <f t="shared" si="38"/>
        <v>0</v>
      </c>
      <c r="M132" s="159"/>
      <c r="N132" s="159"/>
      <c r="O132" s="159"/>
    </row>
    <row r="133" spans="1:15" ht="12" hidden="1">
      <c r="A133" s="409" t="s">
        <v>605</v>
      </c>
      <c r="B133" s="430">
        <f>SUM(C133:L133)</f>
        <v>21866941</v>
      </c>
      <c r="C133" s="430">
        <f>B99-SUM(D133:L133)-B138</f>
        <v>21866941</v>
      </c>
      <c r="D133" s="430">
        <f aca="true" t="shared" si="39" ref="D133:L133">ROUND(一括評価額*D132,0)</f>
        <v>0</v>
      </c>
      <c r="E133" s="430">
        <f t="shared" si="39"/>
        <v>0</v>
      </c>
      <c r="F133" s="430">
        <f t="shared" si="39"/>
        <v>0</v>
      </c>
      <c r="G133" s="430">
        <f t="shared" si="39"/>
        <v>0</v>
      </c>
      <c r="H133" s="430">
        <f t="shared" si="39"/>
        <v>0</v>
      </c>
      <c r="I133" s="430">
        <f t="shared" si="39"/>
        <v>0</v>
      </c>
      <c r="J133" s="430">
        <f t="shared" si="39"/>
        <v>0</v>
      </c>
      <c r="K133" s="430">
        <f t="shared" si="39"/>
        <v>0</v>
      </c>
      <c r="L133" s="430">
        <f t="shared" si="39"/>
        <v>0</v>
      </c>
      <c r="M133" s="311"/>
      <c r="N133" s="311"/>
      <c r="O133" s="159"/>
    </row>
    <row r="134" spans="1:15" ht="12" hidden="1">
      <c r="A134" s="139" t="s">
        <v>606</v>
      </c>
      <c r="B134" s="432"/>
      <c r="C134" s="432"/>
      <c r="D134" s="432"/>
      <c r="E134" s="432"/>
      <c r="F134" s="432"/>
      <c r="G134" s="432"/>
      <c r="H134" s="432"/>
      <c r="I134" s="432"/>
      <c r="J134" s="432"/>
      <c r="K134" s="432"/>
      <c r="L134" s="432"/>
      <c r="M134" s="159"/>
      <c r="N134" s="159"/>
      <c r="O134" s="159"/>
    </row>
    <row r="135" spans="1:15" ht="12" hidden="1">
      <c r="A135" s="130" t="s">
        <v>805</v>
      </c>
      <c r="B135" s="130">
        <f>B50</f>
        <v>2</v>
      </c>
      <c r="C135" s="130" t="str">
        <f aca="true" t="shared" si="40" ref="C135:L135">C50</f>
        <v>2</v>
      </c>
      <c r="D135" s="130">
        <f t="shared" si="40"/>
        <v>0</v>
      </c>
      <c r="E135" s="130">
        <f t="shared" si="40"/>
        <v>0</v>
      </c>
      <c r="F135" s="130">
        <f t="shared" si="40"/>
        <v>0</v>
      </c>
      <c r="G135" s="130">
        <f t="shared" si="40"/>
        <v>0</v>
      </c>
      <c r="H135" s="130">
        <f t="shared" si="40"/>
        <v>0</v>
      </c>
      <c r="I135" s="130">
        <f t="shared" si="40"/>
        <v>0</v>
      </c>
      <c r="J135" s="130">
        <f t="shared" si="40"/>
        <v>0</v>
      </c>
      <c r="K135" s="130">
        <f t="shared" si="40"/>
        <v>0</v>
      </c>
      <c r="L135" s="130">
        <f t="shared" si="40"/>
        <v>0</v>
      </c>
      <c r="M135" s="159"/>
      <c r="N135" s="159"/>
      <c r="O135" s="159"/>
    </row>
    <row r="136" spans="1:15" ht="12" hidden="1">
      <c r="A136" s="433" t="s">
        <v>392</v>
      </c>
      <c r="B136" s="434">
        <f>SUM(C136:L136)</f>
        <v>2240000</v>
      </c>
      <c r="C136" s="434">
        <f>ROUND(C85,総額処理桁Ａ)</f>
        <v>2240000</v>
      </c>
      <c r="D136" s="434">
        <f aca="true" t="shared" si="41" ref="D136:L136">ROUND(D85,総額処理桁Ａ)</f>
        <v>0</v>
      </c>
      <c r="E136" s="434">
        <f t="shared" si="41"/>
        <v>0</v>
      </c>
      <c r="F136" s="434">
        <f t="shared" si="41"/>
        <v>0</v>
      </c>
      <c r="G136" s="434">
        <f t="shared" si="41"/>
        <v>0</v>
      </c>
      <c r="H136" s="434">
        <f t="shared" si="41"/>
        <v>0</v>
      </c>
      <c r="I136" s="434">
        <f t="shared" si="41"/>
        <v>0</v>
      </c>
      <c r="J136" s="434">
        <f t="shared" si="41"/>
        <v>0</v>
      </c>
      <c r="K136" s="434">
        <f t="shared" si="41"/>
        <v>0</v>
      </c>
      <c r="L136" s="434">
        <f t="shared" si="41"/>
        <v>0</v>
      </c>
      <c r="M136" s="159"/>
      <c r="N136" s="159"/>
      <c r="O136" s="159"/>
    </row>
    <row r="137" spans="1:15" ht="12" hidden="1">
      <c r="A137" s="212" t="s">
        <v>604</v>
      </c>
      <c r="B137" s="431">
        <f>SUM(C137:L137)</f>
        <v>0.15864022662889518</v>
      </c>
      <c r="C137" s="431">
        <f aca="true" t="shared" si="42" ref="C137:L137">C136/個別合計</f>
        <v>0.15864022662889518</v>
      </c>
      <c r="D137" s="431">
        <f t="shared" si="42"/>
        <v>0</v>
      </c>
      <c r="E137" s="431">
        <f t="shared" si="42"/>
        <v>0</v>
      </c>
      <c r="F137" s="431">
        <f t="shared" si="42"/>
        <v>0</v>
      </c>
      <c r="G137" s="431">
        <f t="shared" si="42"/>
        <v>0</v>
      </c>
      <c r="H137" s="431">
        <f t="shared" si="42"/>
        <v>0</v>
      </c>
      <c r="I137" s="431">
        <f t="shared" si="42"/>
        <v>0</v>
      </c>
      <c r="J137" s="431">
        <f t="shared" si="42"/>
        <v>0</v>
      </c>
      <c r="K137" s="431">
        <f t="shared" si="42"/>
        <v>0</v>
      </c>
      <c r="L137" s="431">
        <f t="shared" si="42"/>
        <v>0</v>
      </c>
      <c r="M137" s="159"/>
      <c r="N137" s="159"/>
      <c r="O137" s="159"/>
    </row>
    <row r="138" spans="1:15" ht="12" hidden="1">
      <c r="A138" s="212" t="s">
        <v>605</v>
      </c>
      <c r="B138" s="430">
        <f>SUM(C138:L138)</f>
        <v>4123059</v>
      </c>
      <c r="C138" s="435">
        <f>ROUND(一括評価額*C137,0)</f>
        <v>4123059</v>
      </c>
      <c r="D138" s="430">
        <f>ROUND(一括評価額*D137,0)</f>
        <v>0</v>
      </c>
      <c r="E138" s="430">
        <f aca="true" t="shared" si="43" ref="E138:L138">ROUND(一括評価額*E137,0)</f>
        <v>0</v>
      </c>
      <c r="F138" s="430">
        <f t="shared" si="43"/>
        <v>0</v>
      </c>
      <c r="G138" s="430">
        <f t="shared" si="43"/>
        <v>0</v>
      </c>
      <c r="H138" s="430">
        <f t="shared" si="43"/>
        <v>0</v>
      </c>
      <c r="I138" s="430">
        <f t="shared" si="43"/>
        <v>0</v>
      </c>
      <c r="J138" s="430">
        <f t="shared" si="43"/>
        <v>0</v>
      </c>
      <c r="K138" s="430">
        <f t="shared" si="43"/>
        <v>0</v>
      </c>
      <c r="L138" s="430">
        <f t="shared" si="43"/>
        <v>0</v>
      </c>
      <c r="M138" s="159"/>
      <c r="N138" s="159"/>
      <c r="O138" s="159"/>
    </row>
    <row r="139" spans="1:15" ht="12" hidden="1">
      <c r="A139" s="212" t="s">
        <v>589</v>
      </c>
      <c r="B139" s="430">
        <f>ROUND(一括評価額,総額処理桁Ａ)</f>
        <v>25990000</v>
      </c>
      <c r="C139" s="436"/>
      <c r="D139" s="436"/>
      <c r="E139" s="436"/>
      <c r="F139" s="436"/>
      <c r="G139" s="436"/>
      <c r="H139" s="436"/>
      <c r="I139" s="436"/>
      <c r="J139" s="436"/>
      <c r="K139" s="436"/>
      <c r="L139" s="436"/>
      <c r="M139" s="311"/>
      <c r="N139" s="159"/>
      <c r="O139" s="159"/>
    </row>
    <row r="140" spans="1:15" ht="12" hidden="1">
      <c r="A140" s="212" t="s">
        <v>595</v>
      </c>
      <c r="B140" s="430">
        <f>B131+B136</f>
        <v>14120000</v>
      </c>
      <c r="C140" s="436"/>
      <c r="D140" s="436"/>
      <c r="E140" s="436"/>
      <c r="F140" s="436"/>
      <c r="G140" s="436"/>
      <c r="H140" s="436"/>
      <c r="I140" s="436"/>
      <c r="J140" s="436"/>
      <c r="K140" s="436"/>
      <c r="L140" s="436"/>
      <c r="M140" s="159"/>
      <c r="N140" s="159"/>
      <c r="O140" s="159"/>
    </row>
    <row r="141" spans="1:16" ht="12" hidden="1">
      <c r="A141" s="212" t="s">
        <v>607</v>
      </c>
      <c r="B141" s="430">
        <f>B138+B133</f>
        <v>25990000</v>
      </c>
      <c r="C141" s="436"/>
      <c r="D141" s="436"/>
      <c r="E141" s="436"/>
      <c r="F141" s="436"/>
      <c r="G141" s="436"/>
      <c r="H141" s="436"/>
      <c r="I141" s="436"/>
      <c r="J141" s="436"/>
      <c r="K141" s="436"/>
      <c r="L141" s="436"/>
      <c r="M141" s="436"/>
      <c r="N141" s="436"/>
      <c r="O141" s="436"/>
      <c r="P141" s="437"/>
    </row>
    <row r="142" spans="1:15" ht="12" hidden="1">
      <c r="A142" s="438"/>
      <c r="B142" s="436"/>
      <c r="C142" s="436"/>
      <c r="D142" s="436"/>
      <c r="E142" s="436"/>
      <c r="F142" s="436"/>
      <c r="G142" s="436"/>
      <c r="H142" s="436"/>
      <c r="I142" s="436"/>
      <c r="J142" s="436"/>
      <c r="K142" s="436"/>
      <c r="L142" s="436"/>
      <c r="M142" s="159"/>
      <c r="N142" s="159"/>
      <c r="O142" s="159"/>
    </row>
    <row r="143" spans="1:15" ht="12" hidden="1">
      <c r="A143" s="159" t="s">
        <v>394</v>
      </c>
      <c r="B143" s="159"/>
      <c r="C143" s="159"/>
      <c r="D143" s="159"/>
      <c r="E143" s="159"/>
      <c r="F143" s="159"/>
      <c r="G143" s="159"/>
      <c r="H143" s="159"/>
      <c r="I143" s="159"/>
      <c r="J143" s="159"/>
      <c r="K143" s="159"/>
      <c r="L143" s="159"/>
      <c r="M143" s="159"/>
      <c r="N143" s="159"/>
      <c r="O143" s="159"/>
    </row>
    <row r="144" spans="1:15" ht="12" hidden="1">
      <c r="A144" s="44" t="str">
        <f>A50</f>
        <v>受命物件番号</v>
      </c>
      <c r="B144" s="44" t="s">
        <v>395</v>
      </c>
      <c r="C144" s="44" t="str">
        <f aca="true" t="shared" si="44" ref="C144:L144">C50</f>
        <v>2</v>
      </c>
      <c r="D144" s="44">
        <f t="shared" si="44"/>
        <v>0</v>
      </c>
      <c r="E144" s="44">
        <f t="shared" si="44"/>
        <v>0</v>
      </c>
      <c r="F144" s="44">
        <f t="shared" si="44"/>
        <v>0</v>
      </c>
      <c r="G144" s="45">
        <f t="shared" si="44"/>
        <v>0</v>
      </c>
      <c r="H144" s="45">
        <f t="shared" si="44"/>
        <v>0</v>
      </c>
      <c r="I144" s="45">
        <f t="shared" si="44"/>
        <v>0</v>
      </c>
      <c r="J144" s="45">
        <f t="shared" si="44"/>
        <v>0</v>
      </c>
      <c r="K144" s="45">
        <f t="shared" si="44"/>
        <v>0</v>
      </c>
      <c r="L144" s="44">
        <f t="shared" si="44"/>
        <v>0</v>
      </c>
      <c r="M144" s="159"/>
      <c r="N144" s="159"/>
      <c r="O144" s="159"/>
    </row>
    <row r="145" spans="1:15" ht="12" hidden="1">
      <c r="A145" s="44" t="s">
        <v>396</v>
      </c>
      <c r="B145" s="439">
        <f>SUM(C145:L145)</f>
        <v>100</v>
      </c>
      <c r="C145" s="439">
        <f>MAX('基礎'!B50:B51)</f>
        <v>100</v>
      </c>
      <c r="D145" s="439">
        <f>MAX('基礎'!C50:C51)</f>
        <v>0</v>
      </c>
      <c r="E145" s="439">
        <f>MAX('基礎'!D50:D51)</f>
        <v>0</v>
      </c>
      <c r="F145" s="439">
        <f>MAX('基礎'!E50:E51)</f>
        <v>0</v>
      </c>
      <c r="G145" s="440">
        <f>MAX('基礎'!F50:F51)</f>
        <v>0</v>
      </c>
      <c r="H145" s="440">
        <f>MAX('基礎'!G50:G51)</f>
        <v>0</v>
      </c>
      <c r="I145" s="440">
        <f>MAX('基礎'!H50:H51)</f>
        <v>0</v>
      </c>
      <c r="J145" s="440">
        <f>MAX('基礎'!I50:I51)</f>
        <v>0</v>
      </c>
      <c r="K145" s="440">
        <f>MAX('基礎'!J50:J51)</f>
        <v>0</v>
      </c>
      <c r="L145" s="439">
        <f>MAX('基礎'!K50:K51)</f>
        <v>0</v>
      </c>
      <c r="M145" s="159"/>
      <c r="N145" s="159"/>
      <c r="O145" s="159"/>
    </row>
    <row r="146" spans="1:15" ht="12" hidden="1">
      <c r="A146" s="44" t="s">
        <v>397</v>
      </c>
      <c r="B146" s="439">
        <f>SUM(C146:L146)</f>
        <v>0</v>
      </c>
      <c r="C146" s="439">
        <f>MAX('基礎'!B53:B54)</f>
        <v>0</v>
      </c>
      <c r="D146" s="439">
        <f>MAX('基礎'!C53:C54)</f>
        <v>0</v>
      </c>
      <c r="E146" s="439">
        <f>MAX('基礎'!D53:D54)</f>
        <v>0</v>
      </c>
      <c r="F146" s="439">
        <f>MAX('基礎'!E53:E54)</f>
        <v>0</v>
      </c>
      <c r="G146" s="440">
        <f>MAX('基礎'!F53:F54)</f>
        <v>0</v>
      </c>
      <c r="H146" s="440">
        <f>MAX('基礎'!G53:G54)</f>
        <v>0</v>
      </c>
      <c r="I146" s="440">
        <f>MAX('基礎'!H53:H54)</f>
        <v>0</v>
      </c>
      <c r="J146" s="440">
        <f>MAX('基礎'!I53:I54)</f>
        <v>0</v>
      </c>
      <c r="K146" s="440">
        <f>MAX('基礎'!J53:J54)</f>
        <v>0</v>
      </c>
      <c r="L146" s="439">
        <f>MAX('基礎'!K53:K54)</f>
        <v>0</v>
      </c>
      <c r="M146" s="159"/>
      <c r="N146" s="159"/>
      <c r="O146" s="159"/>
    </row>
    <row r="147" spans="1:15" ht="12" hidden="1">
      <c r="A147" s="44" t="s">
        <v>398</v>
      </c>
      <c r="B147" s="439">
        <f>SUM(C147:L147)</f>
        <v>100</v>
      </c>
      <c r="C147" s="439">
        <f>'基礎'!B59</f>
        <v>100</v>
      </c>
      <c r="D147" s="439">
        <f>'基礎'!C59</f>
        <v>0</v>
      </c>
      <c r="E147" s="439">
        <f>'基礎'!D59</f>
        <v>0</v>
      </c>
      <c r="F147" s="439">
        <f>'基礎'!E59</f>
        <v>0</v>
      </c>
      <c r="G147" s="439">
        <f>'基礎'!F59</f>
        <v>0</v>
      </c>
      <c r="H147" s="439">
        <f>'基礎'!G59</f>
        <v>0</v>
      </c>
      <c r="I147" s="439">
        <f>'基礎'!H59</f>
        <v>0</v>
      </c>
      <c r="J147" s="439">
        <f>'基礎'!I59</f>
        <v>0</v>
      </c>
      <c r="K147" s="439">
        <f>'基礎'!J59</f>
        <v>0</v>
      </c>
      <c r="L147" s="439">
        <f>'基礎'!K59</f>
        <v>0</v>
      </c>
      <c r="M147" s="159"/>
      <c r="N147" s="159"/>
      <c r="O147" s="159"/>
    </row>
    <row r="148" spans="1:15" ht="12" hidden="1">
      <c r="A148" s="44" t="s">
        <v>468</v>
      </c>
      <c r="B148" s="439">
        <f>SUM(C148:L148)</f>
        <v>0</v>
      </c>
      <c r="C148" s="439">
        <f>'基礎'!B60</f>
        <v>0</v>
      </c>
      <c r="D148" s="439">
        <f>'基礎'!C60</f>
        <v>0</v>
      </c>
      <c r="E148" s="439">
        <f>'基礎'!D60</f>
        <v>0</v>
      </c>
      <c r="F148" s="439">
        <f>'基礎'!E60</f>
        <v>0</v>
      </c>
      <c r="G148" s="439">
        <f>'基礎'!F60</f>
        <v>0</v>
      </c>
      <c r="H148" s="439">
        <f>'基礎'!G60</f>
        <v>0</v>
      </c>
      <c r="I148" s="439">
        <f>'基礎'!H60</f>
        <v>0</v>
      </c>
      <c r="J148" s="439">
        <f>'基礎'!I60</f>
        <v>0</v>
      </c>
      <c r="K148" s="439">
        <f>'基礎'!J60</f>
        <v>0</v>
      </c>
      <c r="L148" s="439">
        <f>'基礎'!K60</f>
        <v>0</v>
      </c>
      <c r="M148" s="159"/>
      <c r="N148" s="159"/>
      <c r="O148" s="159"/>
    </row>
    <row r="149" spans="1:15" ht="12" hidden="1">
      <c r="A149" s="44" t="s">
        <v>399</v>
      </c>
      <c r="B149" s="439">
        <f>SUM(C149:L149)</f>
        <v>100</v>
      </c>
      <c r="C149" s="439">
        <f aca="true" t="shared" si="45" ref="C149:L149">IF(C146&gt;0,C146,C145)</f>
        <v>100</v>
      </c>
      <c r="D149" s="439">
        <f t="shared" si="45"/>
        <v>0</v>
      </c>
      <c r="E149" s="439">
        <f t="shared" si="45"/>
        <v>0</v>
      </c>
      <c r="F149" s="439">
        <f t="shared" si="45"/>
        <v>0</v>
      </c>
      <c r="G149" s="439">
        <f t="shared" si="45"/>
        <v>0</v>
      </c>
      <c r="H149" s="439">
        <f t="shared" si="45"/>
        <v>0</v>
      </c>
      <c r="I149" s="439">
        <f t="shared" si="45"/>
        <v>0</v>
      </c>
      <c r="J149" s="439">
        <f t="shared" si="45"/>
        <v>0</v>
      </c>
      <c r="K149" s="439">
        <f t="shared" si="45"/>
        <v>0</v>
      </c>
      <c r="L149" s="439">
        <f t="shared" si="45"/>
        <v>0</v>
      </c>
      <c r="M149" s="159"/>
      <c r="N149" s="159"/>
      <c r="O149" s="159"/>
    </row>
    <row r="150" spans="1:15" ht="12" hidden="1">
      <c r="A150" s="159"/>
      <c r="B150" s="159"/>
      <c r="C150" s="159"/>
      <c r="D150" s="159"/>
      <c r="E150" s="159"/>
      <c r="F150" s="159"/>
      <c r="G150" s="159"/>
      <c r="H150" s="159"/>
      <c r="I150" s="159"/>
      <c r="J150" s="159"/>
      <c r="K150" s="159"/>
      <c r="L150" s="159"/>
      <c r="M150" s="159"/>
      <c r="N150" s="159"/>
      <c r="O150" s="159"/>
    </row>
    <row r="151" spans="1:15" ht="12" hidden="1">
      <c r="A151" s="159" t="s">
        <v>400</v>
      </c>
      <c r="B151" s="159"/>
      <c r="C151" s="159" t="s">
        <v>6</v>
      </c>
      <c r="D151" s="159"/>
      <c r="E151" s="159"/>
      <c r="F151" s="159"/>
      <c r="G151" s="159"/>
      <c r="H151" s="159"/>
      <c r="I151" s="159"/>
      <c r="J151" s="159"/>
      <c r="K151" s="159"/>
      <c r="L151" s="159"/>
      <c r="M151" s="159"/>
      <c r="N151" s="159"/>
      <c r="O151" s="159"/>
    </row>
    <row r="152" spans="1:15" ht="12" hidden="1">
      <c r="A152" s="441" t="s">
        <v>878</v>
      </c>
      <c r="B152" s="44">
        <f>B50</f>
        <v>2</v>
      </c>
      <c r="C152" s="44" t="str">
        <f>C50</f>
        <v>2</v>
      </c>
      <c r="D152" s="44">
        <f aca="true" t="shared" si="46" ref="D152:L152">D50</f>
        <v>0</v>
      </c>
      <c r="E152" s="44">
        <f t="shared" si="46"/>
        <v>0</v>
      </c>
      <c r="F152" s="44">
        <f t="shared" si="46"/>
        <v>0</v>
      </c>
      <c r="G152" s="44">
        <f t="shared" si="46"/>
        <v>0</v>
      </c>
      <c r="H152" s="44">
        <f t="shared" si="46"/>
        <v>0</v>
      </c>
      <c r="I152" s="44">
        <f t="shared" si="46"/>
        <v>0</v>
      </c>
      <c r="J152" s="44">
        <f t="shared" si="46"/>
        <v>0</v>
      </c>
      <c r="K152" s="44">
        <f t="shared" si="46"/>
        <v>0</v>
      </c>
      <c r="L152" s="44">
        <f t="shared" si="46"/>
        <v>0</v>
      </c>
      <c r="M152" s="159"/>
      <c r="N152" s="159"/>
      <c r="O152" s="159"/>
    </row>
    <row r="153" spans="1:15" ht="12" hidden="1">
      <c r="A153" s="441" t="s">
        <v>552</v>
      </c>
      <c r="B153" s="442" t="str">
        <f>IF(B157=1,"無し","一部物件に補正対象占有あり")</f>
        <v>無し</v>
      </c>
      <c r="C153" s="44" t="str">
        <f>C81</f>
        <v>なし</v>
      </c>
      <c r="D153" s="44" t="str">
        <f aca="true" t="shared" si="47" ref="D153:L153">D81</f>
        <v>なし</v>
      </c>
      <c r="E153" s="44" t="str">
        <f t="shared" si="47"/>
        <v>なし</v>
      </c>
      <c r="F153" s="44" t="str">
        <f t="shared" si="47"/>
        <v>なし</v>
      </c>
      <c r="G153" s="44" t="str">
        <f t="shared" si="47"/>
        <v>なし</v>
      </c>
      <c r="H153" s="44" t="str">
        <f t="shared" si="47"/>
        <v>なし</v>
      </c>
      <c r="I153" s="44" t="str">
        <f t="shared" si="47"/>
        <v>なし</v>
      </c>
      <c r="J153" s="44" t="str">
        <f t="shared" si="47"/>
        <v>なし</v>
      </c>
      <c r="K153" s="44" t="str">
        <f t="shared" si="47"/>
        <v>なし</v>
      </c>
      <c r="L153" s="44" t="str">
        <f t="shared" si="47"/>
        <v>なし</v>
      </c>
      <c r="M153" s="159"/>
      <c r="N153" s="159"/>
      <c r="O153" s="159"/>
    </row>
    <row r="154" spans="1:15" ht="12" hidden="1">
      <c r="A154" s="441" t="s">
        <v>506</v>
      </c>
      <c r="B154" s="443" t="s">
        <v>470</v>
      </c>
      <c r="C154" s="444">
        <f>C82</f>
        <v>1</v>
      </c>
      <c r="D154" s="444">
        <f aca="true" t="shared" si="48" ref="D154:L154">D82</f>
        <v>1</v>
      </c>
      <c r="E154" s="444">
        <f t="shared" si="48"/>
        <v>1</v>
      </c>
      <c r="F154" s="444">
        <f t="shared" si="48"/>
        <v>1</v>
      </c>
      <c r="G154" s="444">
        <f t="shared" si="48"/>
        <v>1</v>
      </c>
      <c r="H154" s="444">
        <f t="shared" si="48"/>
        <v>1</v>
      </c>
      <c r="I154" s="444">
        <f t="shared" si="48"/>
        <v>1</v>
      </c>
      <c r="J154" s="444">
        <f t="shared" si="48"/>
        <v>1</v>
      </c>
      <c r="K154" s="444">
        <f t="shared" si="48"/>
        <v>1</v>
      </c>
      <c r="L154" s="444">
        <f t="shared" si="48"/>
        <v>1</v>
      </c>
      <c r="M154" s="159"/>
      <c r="N154" s="159"/>
      <c r="O154" s="159"/>
    </row>
    <row r="155" spans="1:15" ht="12" hidden="1">
      <c r="A155" s="441" t="s">
        <v>596</v>
      </c>
      <c r="B155" s="445">
        <f>SUM(C155:L155)</f>
        <v>2238000</v>
      </c>
      <c r="C155" s="430">
        <f>C85</f>
        <v>2238000</v>
      </c>
      <c r="D155" s="430">
        <f aca="true" t="shared" si="49" ref="D155:L155">D85</f>
        <v>0</v>
      </c>
      <c r="E155" s="430">
        <f t="shared" si="49"/>
        <v>0</v>
      </c>
      <c r="F155" s="430">
        <f t="shared" si="49"/>
        <v>0</v>
      </c>
      <c r="G155" s="430">
        <f t="shared" si="49"/>
        <v>0</v>
      </c>
      <c r="H155" s="430">
        <f t="shared" si="49"/>
        <v>0</v>
      </c>
      <c r="I155" s="430">
        <f t="shared" si="49"/>
        <v>0</v>
      </c>
      <c r="J155" s="430">
        <f t="shared" si="49"/>
        <v>0</v>
      </c>
      <c r="K155" s="430">
        <f t="shared" si="49"/>
        <v>0</v>
      </c>
      <c r="L155" s="430">
        <f t="shared" si="49"/>
        <v>0</v>
      </c>
      <c r="M155" s="159"/>
      <c r="N155" s="159"/>
      <c r="O155" s="159"/>
    </row>
    <row r="156" spans="1:15" ht="12" hidden="1">
      <c r="A156" s="441" t="s">
        <v>597</v>
      </c>
      <c r="B156" s="445">
        <f>SUM(C156:L156)</f>
        <v>2238000</v>
      </c>
      <c r="C156" s="430">
        <f>ROUND(C76*C77*C78*C79*C83*C84,0)</f>
        <v>2238000</v>
      </c>
      <c r="D156" s="430">
        <f aca="true" t="shared" si="50" ref="D156:L156">ROUND(D76*D77*D78*D79*D83*D84,0)</f>
        <v>0</v>
      </c>
      <c r="E156" s="430">
        <f t="shared" si="50"/>
        <v>0</v>
      </c>
      <c r="F156" s="430">
        <f t="shared" si="50"/>
        <v>0</v>
      </c>
      <c r="G156" s="430">
        <f t="shared" si="50"/>
        <v>0</v>
      </c>
      <c r="H156" s="430">
        <f t="shared" si="50"/>
        <v>0</v>
      </c>
      <c r="I156" s="430">
        <f t="shared" si="50"/>
        <v>0</v>
      </c>
      <c r="J156" s="430">
        <f t="shared" si="50"/>
        <v>0</v>
      </c>
      <c r="K156" s="430">
        <f t="shared" si="50"/>
        <v>0</v>
      </c>
      <c r="L156" s="430">
        <f t="shared" si="50"/>
        <v>0</v>
      </c>
      <c r="M156" s="159"/>
      <c r="N156" s="159"/>
      <c r="O156" s="159"/>
    </row>
    <row r="157" spans="1:15" ht="12" hidden="1">
      <c r="A157" s="441" t="s">
        <v>598</v>
      </c>
      <c r="B157" s="431">
        <f>IF(B145=0,1,ROUND(B155/B156,4))</f>
        <v>1</v>
      </c>
      <c r="C157" s="446"/>
      <c r="D157" s="446"/>
      <c r="E157" s="446"/>
      <c r="F157" s="446"/>
      <c r="G157" s="446"/>
      <c r="H157" s="446"/>
      <c r="I157" s="446"/>
      <c r="J157" s="446"/>
      <c r="K157" s="446"/>
      <c r="L157" s="446"/>
      <c r="M157" s="159"/>
      <c r="N157" s="159"/>
      <c r="O157" s="159"/>
    </row>
    <row r="158" spans="1:15" ht="12" hidden="1">
      <c r="A158" s="311"/>
      <c r="B158" s="447"/>
      <c r="C158" s="311"/>
      <c r="D158" s="311"/>
      <c r="E158" s="311"/>
      <c r="F158" s="311"/>
      <c r="G158" s="311"/>
      <c r="H158" s="311"/>
      <c r="I158" s="311"/>
      <c r="J158" s="311"/>
      <c r="K158" s="311"/>
      <c r="L158" s="311"/>
      <c r="M158" s="159"/>
      <c r="N158" s="159"/>
      <c r="O158" s="159"/>
    </row>
    <row r="159" spans="1:15" ht="12" hidden="1">
      <c r="A159" s="159" t="s">
        <v>390</v>
      </c>
      <c r="B159" s="159"/>
      <c r="C159" s="159"/>
      <c r="D159" s="159"/>
      <c r="E159" s="159"/>
      <c r="F159" s="159"/>
      <c r="G159" s="159"/>
      <c r="H159" s="159"/>
      <c r="I159" s="159"/>
      <c r="J159" s="159"/>
      <c r="K159" s="159"/>
      <c r="L159" s="159"/>
      <c r="M159" s="159"/>
      <c r="N159" s="159"/>
      <c r="O159" s="159"/>
    </row>
    <row r="160" spans="1:15" ht="12" hidden="1">
      <c r="A160" s="409" t="s">
        <v>417</v>
      </c>
      <c r="B160" s="430">
        <f>IF(B45=0,0,ROUNDDOWN(B45/B161,-2))</f>
        <v>106900</v>
      </c>
      <c r="C160" s="430">
        <f aca="true" t="shared" si="51" ref="C160:L160">IF(C32=0,0,ROUNDDOWN(C45/C32,-2))</f>
        <v>118800</v>
      </c>
      <c r="D160" s="430">
        <f t="shared" si="51"/>
        <v>0</v>
      </c>
      <c r="E160" s="430">
        <f t="shared" si="51"/>
        <v>0</v>
      </c>
      <c r="F160" s="430">
        <f t="shared" si="51"/>
        <v>0</v>
      </c>
      <c r="G160" s="430">
        <f t="shared" si="51"/>
        <v>0</v>
      </c>
      <c r="H160" s="430">
        <f t="shared" si="51"/>
        <v>0</v>
      </c>
      <c r="I160" s="430">
        <f t="shared" si="51"/>
        <v>0</v>
      </c>
      <c r="J160" s="430">
        <f t="shared" si="51"/>
        <v>0</v>
      </c>
      <c r="K160" s="430">
        <f t="shared" si="51"/>
        <v>0</v>
      </c>
      <c r="L160" s="430">
        <f t="shared" si="51"/>
        <v>0</v>
      </c>
      <c r="M160" s="159"/>
      <c r="N160" s="159"/>
      <c r="O160" s="159"/>
    </row>
    <row r="161" spans="1:15" ht="12" hidden="1">
      <c r="A161" s="409" t="s">
        <v>652</v>
      </c>
      <c r="B161" s="448">
        <f>SUM(C161:L161)</f>
        <v>100</v>
      </c>
      <c r="C161" s="448">
        <f aca="true" t="shared" si="52" ref="C161:L161">IF(C24="件外",0,C32)</f>
        <v>100</v>
      </c>
      <c r="D161" s="448">
        <f t="shared" si="52"/>
        <v>0</v>
      </c>
      <c r="E161" s="448">
        <f t="shared" si="52"/>
        <v>0</v>
      </c>
      <c r="F161" s="448">
        <f t="shared" si="52"/>
        <v>0</v>
      </c>
      <c r="G161" s="448">
        <f t="shared" si="52"/>
        <v>0</v>
      </c>
      <c r="H161" s="448">
        <f t="shared" si="52"/>
        <v>0</v>
      </c>
      <c r="I161" s="448">
        <f t="shared" si="52"/>
        <v>0</v>
      </c>
      <c r="J161" s="448">
        <f t="shared" si="52"/>
        <v>0</v>
      </c>
      <c r="K161" s="448">
        <f t="shared" si="52"/>
        <v>0</v>
      </c>
      <c r="L161" s="448">
        <f t="shared" si="52"/>
        <v>0</v>
      </c>
      <c r="M161" s="159"/>
      <c r="N161" s="159"/>
      <c r="O161" s="159"/>
    </row>
    <row r="162" spans="1:15" ht="12" hidden="1">
      <c r="A162" s="449" t="s">
        <v>518</v>
      </c>
      <c r="B162" s="450">
        <f>SUM(C32:L32)</f>
        <v>100</v>
      </c>
      <c r="C162" s="450"/>
      <c r="D162" s="450"/>
      <c r="E162" s="450"/>
      <c r="F162" s="450"/>
      <c r="G162" s="450"/>
      <c r="H162" s="450"/>
      <c r="I162" s="450"/>
      <c r="J162" s="450"/>
      <c r="K162" s="450"/>
      <c r="L162" s="450"/>
      <c r="M162" s="159"/>
      <c r="N162" s="159"/>
      <c r="O162" s="159"/>
    </row>
    <row r="163" spans="1:15" ht="14.25" customHeight="1" hidden="1" thickBot="1">
      <c r="A163" s="451" t="s">
        <v>519</v>
      </c>
      <c r="B163" s="452">
        <f>SUM(C45:L45)</f>
        <v>11880000</v>
      </c>
      <c r="C163" s="453"/>
      <c r="D163" s="453"/>
      <c r="E163" s="453"/>
      <c r="F163" s="453"/>
      <c r="G163" s="453"/>
      <c r="H163" s="453"/>
      <c r="I163" s="453"/>
      <c r="J163" s="453"/>
      <c r="K163" s="453"/>
      <c r="L163" s="453"/>
      <c r="M163" s="159"/>
      <c r="N163" s="159"/>
      <c r="O163" s="159"/>
    </row>
    <row r="164" spans="1:15" ht="12">
      <c r="A164" s="159"/>
      <c r="B164" s="159"/>
      <c r="C164" s="159"/>
      <c r="D164" s="159"/>
      <c r="E164" s="159"/>
      <c r="F164" s="159"/>
      <c r="G164" s="159"/>
      <c r="H164" s="159"/>
      <c r="I164" s="159"/>
      <c r="J164" s="159"/>
      <c r="K164" s="159"/>
      <c r="L164" s="159"/>
      <c r="M164" s="159"/>
      <c r="N164" s="159"/>
      <c r="O164" s="159"/>
    </row>
    <row r="165" spans="1:12" ht="12">
      <c r="A165" s="159"/>
      <c r="B165" s="159"/>
      <c r="C165" s="159"/>
      <c r="D165" s="159"/>
      <c r="E165" s="159"/>
      <c r="F165" s="159"/>
      <c r="G165" s="159"/>
      <c r="H165" s="159"/>
      <c r="I165" s="159"/>
      <c r="J165" s="159"/>
      <c r="K165" s="159"/>
      <c r="L165" s="159"/>
    </row>
  </sheetData>
  <sheetProtection sheet="1" objects="1" scenarios="1"/>
  <mergeCells count="33">
    <mergeCell ref="H3:I8"/>
    <mergeCell ref="B122:D122"/>
    <mergeCell ref="C119:D121"/>
    <mergeCell ref="H12:J18"/>
    <mergeCell ref="F115:I117"/>
    <mergeCell ref="F110:I114"/>
    <mergeCell ref="F105:I106"/>
    <mergeCell ref="F107:I107"/>
    <mergeCell ref="F108:I108"/>
    <mergeCell ref="F109:I109"/>
    <mergeCell ref="F119:G119"/>
    <mergeCell ref="F118:G118"/>
    <mergeCell ref="H119:I119"/>
    <mergeCell ref="H118:I118"/>
    <mergeCell ref="C117:D118"/>
    <mergeCell ref="C114:D116"/>
    <mergeCell ref="C111:D113"/>
    <mergeCell ref="C12:D12"/>
    <mergeCell ref="C106:D106"/>
    <mergeCell ref="C105:D105"/>
    <mergeCell ref="C107:D109"/>
    <mergeCell ref="C110:D110"/>
    <mergeCell ref="A12:B12"/>
    <mergeCell ref="A13:B13"/>
    <mergeCell ref="F13:G13"/>
    <mergeCell ref="A14:B14"/>
    <mergeCell ref="F12:G12"/>
    <mergeCell ref="F14:G14"/>
    <mergeCell ref="F15:G15"/>
    <mergeCell ref="F16:G16"/>
    <mergeCell ref="A15:B15"/>
    <mergeCell ref="F17:G17"/>
    <mergeCell ref="A16:B18"/>
  </mergeCells>
  <printOptions gridLines="1" headings="1"/>
  <pageMargins left="0.5118110236220472" right="0.2362204724409449" top="0.984251968503937" bottom="0.984251968503937" header="0.5118110236220472" footer="0.5118110236220472"/>
  <pageSetup orientation="portrait" paperSize="9"/>
  <headerFooter alignWithMargins="0">
    <oddHeader>&amp;C&amp;A</oddHeader>
    <oddFooter>&amp;C- &amp;P -</oddFooter>
  </headerFooter>
</worksheet>
</file>

<file path=xl/worksheets/sheet4.xml><?xml version="1.0" encoding="utf-8"?>
<worksheet xmlns="http://schemas.openxmlformats.org/spreadsheetml/2006/main" xmlns:r="http://schemas.openxmlformats.org/officeDocument/2006/relationships">
  <dimension ref="A1:I91"/>
  <sheetViews>
    <sheetView showZeros="0" zoomScale="75" zoomScaleNormal="75" workbookViewId="0" topLeftCell="A1">
      <selection activeCell="H4" sqref="H4"/>
    </sheetView>
  </sheetViews>
  <sheetFormatPr defaultColWidth="10.59765625" defaultRowHeight="15"/>
  <cols>
    <col min="1" max="5" width="17.69921875" style="454" customWidth="1"/>
    <col min="6" max="6" width="14.69921875" style="454" customWidth="1"/>
    <col min="7" max="8" width="10.59765625" style="454" customWidth="1"/>
    <col min="9" max="9" width="9.59765625" style="454" customWidth="1"/>
    <col min="10" max="16384" width="11" style="454" customWidth="1"/>
  </cols>
  <sheetData>
    <row r="1" spans="3:5" ht="24" customHeight="1">
      <c r="C1" s="988" t="str">
        <f>"平成 "&amp;'基礎'!B3&amp;" 年（"&amp;'基礎'!C3&amp;"）第 "&amp;'基礎'!D3&amp;" 号 "&amp;'基礎'!B123</f>
        <v>平成 18 年（ケ）第 999 号  </v>
      </c>
      <c r="D1" s="988"/>
      <c r="E1" s="988"/>
    </row>
    <row r="2" spans="1:5" ht="24" customHeight="1">
      <c r="A2" s="455"/>
      <c r="B2" s="455"/>
      <c r="C2" s="989">
        <f>IF('基礎'!A108&gt;1,'基礎'!A112,'基礎'!B9)</f>
        <v>37380</v>
      </c>
      <c r="D2" s="989"/>
      <c r="E2" s="456" t="s">
        <v>438</v>
      </c>
    </row>
    <row r="3" spans="1:5" ht="24" customHeight="1">
      <c r="A3" s="457"/>
      <c r="B3" s="457"/>
      <c r="C3" s="989">
        <f>IF('基礎'!A108&gt;1,'基礎'!A114,'基礎'!B10)</f>
        <v>37380</v>
      </c>
      <c r="D3" s="989"/>
      <c r="E3" s="456" t="s">
        <v>111</v>
      </c>
    </row>
    <row r="4" spans="1:5" ht="24" customHeight="1">
      <c r="A4" s="457"/>
      <c r="B4" s="457"/>
      <c r="C4" s="458"/>
      <c r="D4" s="458"/>
      <c r="E4" s="459"/>
    </row>
    <row r="5" spans="1:5" ht="24" customHeight="1">
      <c r="A5" s="457"/>
      <c r="B5" s="457"/>
      <c r="C5" s="458"/>
      <c r="D5" s="458"/>
      <c r="E5" s="459"/>
    </row>
    <row r="6" spans="1:7" ht="24" customHeight="1">
      <c r="A6" s="457"/>
      <c r="B6" s="457"/>
      <c r="C6" s="457"/>
      <c r="D6" s="457"/>
      <c r="E6" s="457"/>
      <c r="F6" s="460"/>
      <c r="G6" s="461"/>
    </row>
    <row r="7" spans="1:7" ht="24" customHeight="1">
      <c r="A7" s="457"/>
      <c r="B7" s="457"/>
      <c r="C7" s="457"/>
      <c r="D7" s="457"/>
      <c r="E7" s="457"/>
      <c r="F7" s="460"/>
      <c r="G7" s="461"/>
    </row>
    <row r="8" spans="1:7" ht="30" customHeight="1">
      <c r="A8" s="462" t="str">
        <f>'基礎'!E13&amp;" "&amp;'基礎'!E14&amp;" 御中"</f>
        <v>◎◎地方裁判所 ◇□支部 御中</v>
      </c>
      <c r="B8" s="463"/>
      <c r="C8" s="463"/>
      <c r="D8" s="463"/>
      <c r="E8" s="463"/>
      <c r="F8" s="460"/>
      <c r="G8" s="461"/>
    </row>
    <row r="9" spans="1:7" ht="24" customHeight="1">
      <c r="A9" s="464"/>
      <c r="B9" s="465"/>
      <c r="C9" s="465"/>
      <c r="D9" s="465"/>
      <c r="E9" s="465"/>
      <c r="F9" s="465"/>
      <c r="G9" s="465"/>
    </row>
    <row r="10" spans="1:7" ht="24" customHeight="1">
      <c r="A10" s="465"/>
      <c r="B10" s="465"/>
      <c r="C10" s="465"/>
      <c r="D10" s="465"/>
      <c r="E10" s="465"/>
      <c r="F10" s="465"/>
      <c r="G10" s="465"/>
    </row>
    <row r="11" spans="1:7" ht="24" customHeight="1">
      <c r="A11" s="465"/>
      <c r="B11" s="991" t="s">
        <v>439</v>
      </c>
      <c r="C11" s="991"/>
      <c r="D11" s="991"/>
      <c r="E11" s="466"/>
      <c r="F11" s="466"/>
      <c r="G11" s="465"/>
    </row>
    <row r="12" spans="1:7" ht="24" customHeight="1">
      <c r="A12" s="465"/>
      <c r="B12" s="991"/>
      <c r="C12" s="991"/>
      <c r="D12" s="991"/>
      <c r="E12" s="466"/>
      <c r="F12" s="466"/>
      <c r="G12" s="465"/>
    </row>
    <row r="13" spans="1:7" ht="24" customHeight="1">
      <c r="A13" s="465"/>
      <c r="B13" s="466"/>
      <c r="C13" s="466"/>
      <c r="D13" s="466"/>
      <c r="E13" s="466"/>
      <c r="F13" s="466"/>
      <c r="G13" s="465"/>
    </row>
    <row r="14" spans="1:8" ht="24" customHeight="1">
      <c r="A14" s="465"/>
      <c r="B14" s="992"/>
      <c r="C14" s="992"/>
      <c r="D14" s="992"/>
      <c r="E14" s="461"/>
      <c r="F14" s="465"/>
      <c r="H14" s="467" t="s">
        <v>544</v>
      </c>
    </row>
    <row r="15" spans="1:9" ht="24" customHeight="1">
      <c r="A15" s="465"/>
      <c r="B15" s="993">
        <f>IF('基礎'!A108=2,"【再評価上申書】",IF('基礎'!A108=3," 【補充評価上申書】",0))</f>
        <v>0</v>
      </c>
      <c r="C15" s="993"/>
      <c r="D15" s="993"/>
      <c r="E15" s="461"/>
      <c r="F15" s="461"/>
      <c r="G15" s="465"/>
      <c r="I15" s="468" t="s">
        <v>544</v>
      </c>
    </row>
    <row r="16" spans="1:7" ht="24" customHeight="1">
      <c r="A16" s="465"/>
      <c r="B16" s="461"/>
      <c r="C16" s="461"/>
      <c r="D16" s="461"/>
      <c r="E16" s="461"/>
      <c r="F16" s="461"/>
      <c r="G16" s="465"/>
    </row>
    <row r="17" spans="1:7" ht="24" customHeight="1">
      <c r="A17" s="465"/>
      <c r="B17" s="465"/>
      <c r="C17" s="465"/>
      <c r="D17" s="465"/>
      <c r="E17" s="465"/>
      <c r="F17" s="465"/>
      <c r="G17" s="465"/>
    </row>
    <row r="18" spans="1:7" ht="24" customHeight="1">
      <c r="A18" s="465"/>
      <c r="B18" s="994">
        <f>IF('基礎'!A108&gt;1,'基礎'!A118,0)</f>
        <v>0</v>
      </c>
      <c r="C18" s="994"/>
      <c r="D18" s="994"/>
      <c r="E18" s="469"/>
      <c r="F18" s="469"/>
      <c r="G18" s="465"/>
    </row>
    <row r="19" spans="1:7" ht="24" customHeight="1">
      <c r="A19" s="465"/>
      <c r="B19" s="994"/>
      <c r="C19" s="994"/>
      <c r="D19" s="994"/>
      <c r="E19" s="469"/>
      <c r="F19" s="469"/>
      <c r="G19" s="465"/>
    </row>
    <row r="20" spans="1:7" ht="24" customHeight="1">
      <c r="A20" s="465"/>
      <c r="B20" s="465"/>
      <c r="C20" s="469"/>
      <c r="D20" s="469"/>
      <c r="E20" s="469"/>
      <c r="F20" s="469"/>
      <c r="G20" s="465"/>
    </row>
    <row r="21" spans="1:7" ht="24" customHeight="1">
      <c r="A21" s="465"/>
      <c r="B21" s="465"/>
      <c r="C21" s="469"/>
      <c r="D21" s="469"/>
      <c r="E21" s="469"/>
      <c r="F21" s="469"/>
      <c r="G21" s="465"/>
    </row>
    <row r="22" spans="1:7" ht="30" customHeight="1">
      <c r="A22" s="465"/>
      <c r="B22" s="465"/>
      <c r="C22" s="469"/>
      <c r="D22" s="469"/>
      <c r="E22" s="469"/>
      <c r="F22" s="469"/>
      <c r="G22" s="465"/>
    </row>
    <row r="23" spans="1:7" ht="30" customHeight="1">
      <c r="A23" s="465"/>
      <c r="B23" s="465"/>
      <c r="C23" s="465"/>
      <c r="D23" s="465"/>
      <c r="E23" s="465"/>
      <c r="F23" s="465"/>
      <c r="G23" s="465"/>
    </row>
    <row r="24" spans="1:7" ht="30" customHeight="1">
      <c r="A24" s="465"/>
      <c r="B24" s="465"/>
      <c r="C24" s="465"/>
      <c r="D24" s="465"/>
      <c r="E24" s="465"/>
      <c r="F24" s="465"/>
      <c r="G24" s="465"/>
    </row>
    <row r="25" spans="1:7" ht="30" customHeight="1">
      <c r="A25" s="465"/>
      <c r="B25" s="465"/>
      <c r="C25" s="465"/>
      <c r="D25" s="465"/>
      <c r="E25" s="465"/>
      <c r="F25" s="465"/>
      <c r="G25" s="465"/>
    </row>
    <row r="26" spans="1:7" ht="30" customHeight="1">
      <c r="A26" s="465"/>
      <c r="B26" s="465"/>
      <c r="C26" s="465"/>
      <c r="D26" s="465"/>
      <c r="E26" s="465"/>
      <c r="F26" s="465"/>
      <c r="G26" s="465"/>
    </row>
    <row r="27" spans="1:7" ht="30" customHeight="1">
      <c r="A27" s="465"/>
      <c r="B27" s="465"/>
      <c r="C27" s="455"/>
      <c r="D27" s="995"/>
      <c r="E27" s="995"/>
      <c r="F27" s="465"/>
      <c r="G27" s="465"/>
    </row>
    <row r="28" spans="1:5" ht="24" customHeight="1">
      <c r="A28" s="465"/>
      <c r="B28" s="465"/>
      <c r="C28" s="455" t="s">
        <v>440</v>
      </c>
      <c r="D28" s="997">
        <f>IF('基礎'!A108&gt;1,'基礎'!A116,'基礎'!B13)</f>
        <v>37395</v>
      </c>
      <c r="E28" s="997"/>
    </row>
    <row r="29" spans="1:5" ht="24" customHeight="1">
      <c r="A29" s="465"/>
      <c r="B29" s="465"/>
      <c r="C29" s="455" t="s">
        <v>112</v>
      </c>
      <c r="D29" s="996" t="s">
        <v>441</v>
      </c>
      <c r="E29" s="996"/>
    </row>
    <row r="30" spans="1:5" ht="30" customHeight="1">
      <c r="A30" s="465"/>
      <c r="B30" s="465"/>
      <c r="C30" s="465"/>
      <c r="D30" s="990" t="str">
        <f>'基礎'!B14</f>
        <v>鑑定小太郎</v>
      </c>
      <c r="E30" s="990"/>
    </row>
    <row r="31" spans="1:7" ht="30" customHeight="1">
      <c r="A31" s="465"/>
      <c r="B31" s="465"/>
      <c r="C31" s="465"/>
      <c r="D31" s="465"/>
      <c r="E31" s="465"/>
      <c r="F31" s="457"/>
      <c r="G31" s="457"/>
    </row>
    <row r="32" spans="1:7" ht="30" customHeight="1">
      <c r="A32" s="465"/>
      <c r="B32" s="465"/>
      <c r="C32" s="465"/>
      <c r="D32" s="465"/>
      <c r="E32" s="465"/>
      <c r="F32" s="457"/>
      <c r="G32" s="457"/>
    </row>
    <row r="33" spans="1:7" ht="30" customHeight="1">
      <c r="A33" s="465"/>
      <c r="B33" s="465"/>
      <c r="C33" s="465"/>
      <c r="D33" s="465"/>
      <c r="E33" s="465"/>
      <c r="F33" s="457"/>
      <c r="G33" s="457"/>
    </row>
    <row r="34" spans="1:7" ht="19.5" customHeight="1">
      <c r="A34" s="470" t="s">
        <v>194</v>
      </c>
      <c r="B34" s="465"/>
      <c r="C34" s="465"/>
      <c r="D34" s="465"/>
      <c r="E34" s="465"/>
      <c r="F34" s="457"/>
      <c r="G34" s="457"/>
    </row>
    <row r="35" spans="1:8" ht="30" customHeight="1">
      <c r="A35" s="998" t="s">
        <v>401</v>
      </c>
      <c r="B35" s="999"/>
      <c r="C35" s="999"/>
      <c r="D35" s="999"/>
      <c r="E35" s="1000"/>
      <c r="F35" s="471"/>
      <c r="G35" s="471"/>
      <c r="H35" s="457"/>
    </row>
    <row r="36" spans="1:7" ht="30" customHeight="1">
      <c r="A36" s="1001">
        <f>'一括-3'!H36</f>
        <v>25990000</v>
      </c>
      <c r="B36" s="1002"/>
      <c r="C36" s="1002"/>
      <c r="D36" s="1002"/>
      <c r="E36" s="1003"/>
      <c r="F36" s="472"/>
      <c r="G36" s="472"/>
    </row>
    <row r="37" spans="1:7" ht="19.5" customHeight="1">
      <c r="A37" s="1004" t="s">
        <v>505</v>
      </c>
      <c r="B37" s="1005"/>
      <c r="C37" s="1005"/>
      <c r="D37" s="1005"/>
      <c r="E37" s="1006"/>
      <c r="F37" s="471"/>
      <c r="G37" s="471"/>
    </row>
    <row r="38" spans="1:7" ht="21.75" customHeight="1">
      <c r="A38" s="473" t="str">
        <f>"物件　"&amp;'一括-3'!A16</f>
        <v>物件　1</v>
      </c>
      <c r="B38" s="1007">
        <f>'一括-3'!H16</f>
        <v>10690000</v>
      </c>
      <c r="C38" s="1008"/>
      <c r="D38" s="1008"/>
      <c r="E38" s="474"/>
      <c r="F38" s="475"/>
      <c r="G38" s="475"/>
    </row>
    <row r="39" spans="1:7" ht="21.75" customHeight="1">
      <c r="A39" s="473" t="str">
        <f>"物件　"&amp;'一括-3'!A17</f>
        <v>物件　0</v>
      </c>
      <c r="B39" s="1007">
        <f>'一括-3'!H17</f>
        <v>0</v>
      </c>
      <c r="C39" s="1008"/>
      <c r="D39" s="1008"/>
      <c r="E39" s="474"/>
      <c r="F39" s="475"/>
      <c r="G39" s="475"/>
    </row>
    <row r="40" spans="1:7" ht="21.75" customHeight="1">
      <c r="A40" s="473" t="str">
        <f>"物件　"&amp;'一括-3'!A18</f>
        <v>物件　0</v>
      </c>
      <c r="B40" s="1007">
        <f>'一括-3'!H18</f>
        <v>0</v>
      </c>
      <c r="C40" s="1008"/>
      <c r="D40" s="1008"/>
      <c r="E40" s="474"/>
      <c r="F40" s="475"/>
      <c r="G40" s="475"/>
    </row>
    <row r="41" spans="1:7" ht="21.75" customHeight="1">
      <c r="A41" s="473" t="str">
        <f>"物件　"&amp;'一括-3'!A19</f>
        <v>物件　0</v>
      </c>
      <c r="B41" s="1007">
        <f>'一括-3'!H19</f>
        <v>0</v>
      </c>
      <c r="C41" s="1008"/>
      <c r="D41" s="1008"/>
      <c r="E41" s="474"/>
      <c r="F41" s="475"/>
      <c r="G41" s="475"/>
    </row>
    <row r="42" spans="1:7" ht="21.75" customHeight="1">
      <c r="A42" s="473" t="str">
        <f>"物件　"&amp;'一括-3'!A20</f>
        <v>物件　0</v>
      </c>
      <c r="B42" s="1007">
        <f>'一括-3'!H20</f>
        <v>0</v>
      </c>
      <c r="C42" s="1008"/>
      <c r="D42" s="1008"/>
      <c r="E42" s="474"/>
      <c r="F42" s="475"/>
      <c r="G42" s="475"/>
    </row>
    <row r="43" spans="1:7" ht="21.75" customHeight="1">
      <c r="A43" s="473" t="str">
        <f>"物件　"&amp;'一括-3'!A21</f>
        <v>物件　0</v>
      </c>
      <c r="B43" s="1007">
        <f>'一括-3'!H21</f>
        <v>0</v>
      </c>
      <c r="C43" s="1008"/>
      <c r="D43" s="1008"/>
      <c r="E43" s="474"/>
      <c r="F43" s="475"/>
      <c r="G43" s="475"/>
    </row>
    <row r="44" spans="1:7" ht="21.75" customHeight="1">
      <c r="A44" s="473" t="str">
        <f>"物件　"&amp;'一括-3'!A22</f>
        <v>物件　0</v>
      </c>
      <c r="B44" s="1007">
        <f>'一括-3'!H22</f>
        <v>0</v>
      </c>
      <c r="C44" s="1008"/>
      <c r="D44" s="1008"/>
      <c r="E44" s="474"/>
      <c r="F44" s="475"/>
      <c r="G44" s="475"/>
    </row>
    <row r="45" spans="1:7" ht="21.75" customHeight="1">
      <c r="A45" s="473" t="str">
        <f>"物件　"&amp;'一括-3'!A23</f>
        <v>物件　0</v>
      </c>
      <c r="B45" s="1007">
        <f>'一括-3'!H23</f>
        <v>0</v>
      </c>
      <c r="C45" s="1008"/>
      <c r="D45" s="1008"/>
      <c r="E45" s="474"/>
      <c r="F45" s="475"/>
      <c r="G45" s="475"/>
    </row>
    <row r="46" spans="1:7" ht="21.75" customHeight="1">
      <c r="A46" s="473" t="str">
        <f>"物件　"&amp;'一括-3'!A24</f>
        <v>物件　0</v>
      </c>
      <c r="B46" s="1007">
        <f>'一括-3'!H24</f>
        <v>0</v>
      </c>
      <c r="C46" s="1008"/>
      <c r="D46" s="1008"/>
      <c r="E46" s="474"/>
      <c r="F46" s="475"/>
      <c r="G46" s="475"/>
    </row>
    <row r="47" spans="1:7" ht="21.75" customHeight="1">
      <c r="A47" s="473" t="str">
        <f>"物件　"&amp;'一括-3'!A25</f>
        <v>物件　0</v>
      </c>
      <c r="B47" s="1007">
        <f>'一括-3'!H25</f>
        <v>0</v>
      </c>
      <c r="C47" s="1008"/>
      <c r="D47" s="1008"/>
      <c r="E47" s="474"/>
      <c r="F47" s="475"/>
      <c r="G47" s="475"/>
    </row>
    <row r="48" spans="1:7" ht="21.75" customHeight="1">
      <c r="A48" s="473" t="str">
        <f>"物件　"&amp;'一括-3'!A26</f>
        <v>物件　2</v>
      </c>
      <c r="B48" s="1007">
        <f>'一括-3'!H26</f>
        <v>15300000</v>
      </c>
      <c r="C48" s="1008"/>
      <c r="D48" s="1008"/>
      <c r="E48" s="474"/>
      <c r="F48" s="475"/>
      <c r="G48" s="475"/>
    </row>
    <row r="49" spans="1:7" ht="21.75" customHeight="1">
      <c r="A49" s="473" t="str">
        <f>"物件　"&amp;'一括-3'!A27</f>
        <v>物件　0</v>
      </c>
      <c r="B49" s="1007">
        <f>'一括-3'!H27</f>
        <v>0</v>
      </c>
      <c r="C49" s="1008"/>
      <c r="D49" s="1008"/>
      <c r="E49" s="474"/>
      <c r="F49" s="475"/>
      <c r="G49" s="475"/>
    </row>
    <row r="50" spans="1:7" ht="21.75" customHeight="1">
      <c r="A50" s="473" t="str">
        <f>"物件　"&amp;'一括-3'!A28</f>
        <v>物件　0</v>
      </c>
      <c r="B50" s="1007">
        <f>'一括-3'!H28</f>
        <v>0</v>
      </c>
      <c r="C50" s="1008"/>
      <c r="D50" s="1008"/>
      <c r="E50" s="474"/>
      <c r="F50" s="475"/>
      <c r="G50" s="475"/>
    </row>
    <row r="51" spans="1:7" ht="21.75" customHeight="1">
      <c r="A51" s="473" t="str">
        <f>"物件　"&amp;'一括-3'!A29</f>
        <v>物件　0</v>
      </c>
      <c r="B51" s="1007">
        <f>'一括-3'!H29</f>
        <v>0</v>
      </c>
      <c r="C51" s="1008"/>
      <c r="D51" s="1008"/>
      <c r="E51" s="474"/>
      <c r="F51" s="475"/>
      <c r="G51" s="475"/>
    </row>
    <row r="52" spans="1:7" ht="21.75" customHeight="1">
      <c r="A52" s="473" t="str">
        <f>"物件　"&amp;'一括-3'!A30</f>
        <v>物件　0</v>
      </c>
      <c r="B52" s="1007">
        <f>'一括-3'!H30</f>
        <v>0</v>
      </c>
      <c r="C52" s="1008"/>
      <c r="D52" s="1008"/>
      <c r="E52" s="474"/>
      <c r="F52" s="475"/>
      <c r="G52" s="475"/>
    </row>
    <row r="53" spans="1:7" ht="21.75" customHeight="1">
      <c r="A53" s="473" t="str">
        <f>"物件　"&amp;'一括-3'!A31</f>
        <v>物件　0</v>
      </c>
      <c r="B53" s="1007">
        <f>'一括-3'!H31</f>
        <v>0</v>
      </c>
      <c r="C53" s="1008"/>
      <c r="D53" s="1008"/>
      <c r="E53" s="474"/>
      <c r="F53" s="475"/>
      <c r="G53" s="475"/>
    </row>
    <row r="54" spans="1:7" ht="21.75" customHeight="1">
      <c r="A54" s="473" t="str">
        <f>"物件　"&amp;'一括-3'!A32</f>
        <v>物件　0</v>
      </c>
      <c r="B54" s="1007">
        <f>'一括-3'!H32</f>
        <v>0</v>
      </c>
      <c r="C54" s="1008"/>
      <c r="D54" s="1008"/>
      <c r="E54" s="474"/>
      <c r="F54" s="475"/>
      <c r="G54" s="475"/>
    </row>
    <row r="55" spans="1:7" ht="21.75" customHeight="1">
      <c r="A55" s="473" t="str">
        <f>"物件　"&amp;'一括-3'!A33</f>
        <v>物件　0</v>
      </c>
      <c r="B55" s="1007">
        <f>'一括-3'!H33</f>
        <v>0</v>
      </c>
      <c r="C55" s="1008"/>
      <c r="D55" s="1008"/>
      <c r="E55" s="474"/>
      <c r="F55" s="475"/>
      <c r="G55" s="475"/>
    </row>
    <row r="56" spans="1:7" ht="21.75" customHeight="1">
      <c r="A56" s="473" t="str">
        <f>"物件　"&amp;'一括-3'!A34</f>
        <v>物件　0</v>
      </c>
      <c r="B56" s="1007">
        <f>'一括-3'!H34</f>
        <v>0</v>
      </c>
      <c r="C56" s="1008"/>
      <c r="D56" s="1008"/>
      <c r="E56" s="474"/>
      <c r="F56" s="475"/>
      <c r="G56" s="475"/>
    </row>
    <row r="57" spans="1:7" ht="21.75" customHeight="1">
      <c r="A57" s="476" t="str">
        <f>"物件　"&amp;'一括-3'!A35</f>
        <v>物件　0</v>
      </c>
      <c r="B57" s="1009">
        <f>'一括-3'!H35</f>
        <v>0</v>
      </c>
      <c r="C57" s="1010"/>
      <c r="D57" s="1010"/>
      <c r="E57" s="477"/>
      <c r="F57" s="475"/>
      <c r="G57" s="475"/>
    </row>
    <row r="58" spans="1:9" ht="19.5" customHeight="1">
      <c r="A58" s="478" t="str">
        <f>B86</f>
        <v>①　一括価格は、物件[1～2]の各不動産について、一括売却（民事執行法６１条本文）を</v>
      </c>
      <c r="B58" s="479"/>
      <c r="C58" s="479"/>
      <c r="D58" s="479"/>
      <c r="E58" s="480"/>
      <c r="F58" s="475"/>
      <c r="G58" s="475"/>
      <c r="H58" s="481"/>
      <c r="I58" s="482"/>
    </row>
    <row r="59" spans="1:9" ht="19.5" customHeight="1">
      <c r="A59" s="483" t="s">
        <v>678</v>
      </c>
      <c r="B59" s="479"/>
      <c r="C59" s="479"/>
      <c r="D59" s="479"/>
      <c r="E59" s="480"/>
      <c r="F59" s="475"/>
      <c r="G59" s="475"/>
      <c r="H59" s="481"/>
      <c r="I59" s="482"/>
    </row>
    <row r="60" spans="1:9" ht="19.5" customHeight="1">
      <c r="A60" s="484" t="s">
        <v>776</v>
      </c>
      <c r="B60" s="479"/>
      <c r="C60" s="479"/>
      <c r="D60" s="479"/>
      <c r="E60" s="480"/>
      <c r="F60" s="475"/>
      <c r="G60" s="475"/>
      <c r="H60" s="481"/>
      <c r="I60" s="482"/>
    </row>
    <row r="61" spans="1:9" ht="19.5" customHeight="1">
      <c r="A61" s="484" t="str">
        <f>B90</f>
        <v>③　物件［1～0］の土地価格の内訳価格は、物件[2～0]の建物のための敷地利用権等価格を</v>
      </c>
      <c r="B61" s="479"/>
      <c r="C61" s="479"/>
      <c r="D61" s="479"/>
      <c r="E61" s="480"/>
      <c r="F61" s="475"/>
      <c r="G61" s="475"/>
      <c r="H61" s="481"/>
      <c r="I61" s="482"/>
    </row>
    <row r="62" spans="1:9" ht="19.5" customHeight="1">
      <c r="A62" s="484" t="s">
        <v>909</v>
      </c>
      <c r="B62" s="479"/>
      <c r="C62" s="479"/>
      <c r="D62" s="479"/>
      <c r="E62" s="480"/>
      <c r="F62" s="475"/>
      <c r="G62" s="475"/>
      <c r="H62" s="481"/>
      <c r="I62" s="482"/>
    </row>
    <row r="63" spans="1:9" ht="19.5" customHeight="1">
      <c r="A63" s="485"/>
      <c r="B63" s="479"/>
      <c r="C63" s="479"/>
      <c r="D63" s="479"/>
      <c r="E63" s="480"/>
      <c r="F63" s="475"/>
      <c r="G63" s="475"/>
      <c r="H63" s="481"/>
      <c r="I63" s="482"/>
    </row>
    <row r="64" spans="1:6" ht="19.5" customHeight="1">
      <c r="A64" s="486" t="s">
        <v>9</v>
      </c>
      <c r="B64" s="487"/>
      <c r="C64" s="488"/>
      <c r="D64" s="488"/>
      <c r="E64" s="489"/>
      <c r="F64" s="465"/>
    </row>
    <row r="65" spans="1:5" ht="19.5" customHeight="1">
      <c r="A65" s="486" t="s">
        <v>372</v>
      </c>
      <c r="B65" s="487"/>
      <c r="C65" s="488"/>
      <c r="D65" s="488"/>
      <c r="E65" s="488"/>
    </row>
    <row r="66" spans="1:5" ht="19.5" customHeight="1">
      <c r="A66" s="490" t="s">
        <v>10</v>
      </c>
      <c r="B66" s="487"/>
      <c r="C66" s="488"/>
      <c r="D66" s="488"/>
      <c r="E66" s="488"/>
    </row>
    <row r="67" spans="1:5" ht="19.5" customHeight="1">
      <c r="A67" s="490" t="s">
        <v>142</v>
      </c>
      <c r="B67" s="487"/>
      <c r="C67" s="488"/>
      <c r="D67" s="488"/>
      <c r="E67" s="488"/>
    </row>
    <row r="68" spans="1:5" ht="19.5" customHeight="1">
      <c r="A68" s="490" t="s">
        <v>143</v>
      </c>
      <c r="B68" s="487"/>
      <c r="C68" s="488"/>
      <c r="D68" s="488"/>
      <c r="E68" s="488"/>
    </row>
    <row r="69" spans="1:5" ht="19.5" customHeight="1">
      <c r="A69" s="490" t="s">
        <v>144</v>
      </c>
      <c r="B69" s="487"/>
      <c r="C69" s="488"/>
      <c r="D69" s="488"/>
      <c r="E69" s="488"/>
    </row>
    <row r="70" spans="1:5" ht="19.5" customHeight="1">
      <c r="A70" s="491" t="s">
        <v>145</v>
      </c>
      <c r="B70" s="488"/>
      <c r="C70" s="488"/>
      <c r="D70" s="488"/>
      <c r="E70" s="488"/>
    </row>
    <row r="71" spans="1:5" ht="19.5" customHeight="1">
      <c r="A71" s="491" t="s">
        <v>146</v>
      </c>
      <c r="B71" s="488"/>
      <c r="C71" s="488"/>
      <c r="D71" s="488"/>
      <c r="E71" s="488"/>
    </row>
    <row r="72" spans="1:5" ht="19.5" customHeight="1">
      <c r="A72" s="491" t="s">
        <v>811</v>
      </c>
      <c r="B72" s="488"/>
      <c r="C72" s="488"/>
      <c r="D72" s="488"/>
      <c r="E72" s="488"/>
    </row>
    <row r="73" spans="1:5" ht="19.5" customHeight="1">
      <c r="A73" s="486" t="s">
        <v>149</v>
      </c>
      <c r="B73" s="488"/>
      <c r="C73" s="488"/>
      <c r="D73" s="488"/>
      <c r="E73" s="488"/>
    </row>
    <row r="74" spans="1:5" ht="19.5" customHeight="1">
      <c r="A74" s="490" t="s">
        <v>225</v>
      </c>
      <c r="B74" s="488"/>
      <c r="C74" s="488"/>
      <c r="D74" s="488"/>
      <c r="E74" s="488"/>
    </row>
    <row r="75" spans="1:5" ht="19.5" customHeight="1">
      <c r="A75" s="486" t="s">
        <v>677</v>
      </c>
      <c r="B75" s="488"/>
      <c r="C75" s="488"/>
      <c r="D75" s="488"/>
      <c r="E75" s="488"/>
    </row>
    <row r="76" spans="1:5" ht="19.5" customHeight="1">
      <c r="A76" s="490" t="s">
        <v>113</v>
      </c>
      <c r="B76" s="488"/>
      <c r="C76" s="488"/>
      <c r="D76" s="488"/>
      <c r="E76" s="488"/>
    </row>
    <row r="77" spans="1:5" ht="19.5" customHeight="1">
      <c r="A77" s="488"/>
      <c r="B77" s="488"/>
      <c r="C77" s="488"/>
      <c r="D77" s="488"/>
      <c r="E77" s="488"/>
    </row>
    <row r="81" spans="1:8" ht="12">
      <c r="A81" s="492" t="s">
        <v>148</v>
      </c>
      <c r="B81" s="493"/>
      <c r="C81" s="493"/>
      <c r="D81" s="493"/>
      <c r="E81" s="493"/>
      <c r="F81" s="493"/>
      <c r="G81" s="493"/>
      <c r="H81" s="493"/>
    </row>
    <row r="82" spans="1:8" ht="12">
      <c r="A82" s="493"/>
      <c r="B82" s="494" t="s">
        <v>685</v>
      </c>
      <c r="C82" s="495">
        <f>'基礎'!B8</f>
        <v>1</v>
      </c>
      <c r="D82" s="495" t="s">
        <v>645</v>
      </c>
      <c r="E82" s="495">
        <f>'基礎'!B6</f>
        <v>1</v>
      </c>
      <c r="F82" s="495" t="s">
        <v>777</v>
      </c>
      <c r="G82" s="495">
        <f>'基礎'!B7</f>
        <v>2</v>
      </c>
      <c r="H82" s="493"/>
    </row>
    <row r="83" spans="1:8" ht="12">
      <c r="A83" s="493"/>
      <c r="B83" s="494" t="s">
        <v>686</v>
      </c>
      <c r="C83" s="495">
        <f>'基礎'!D8</f>
        <v>2</v>
      </c>
      <c r="D83" s="495" t="s">
        <v>646</v>
      </c>
      <c r="E83" s="495">
        <f>'基礎'!D6</f>
        <v>0</v>
      </c>
      <c r="F83" s="495" t="s">
        <v>778</v>
      </c>
      <c r="G83" s="495">
        <f>'基礎'!D7</f>
        <v>0</v>
      </c>
      <c r="H83" s="493"/>
    </row>
    <row r="84" spans="1:8" ht="12.75">
      <c r="A84" s="493"/>
      <c r="B84" s="496" t="s">
        <v>227</v>
      </c>
      <c r="C84" s="493"/>
      <c r="D84" s="493"/>
      <c r="E84" s="493"/>
      <c r="F84" s="493"/>
      <c r="G84" s="493"/>
      <c r="H84" s="493"/>
    </row>
    <row r="85" spans="1:8" ht="12">
      <c r="A85" s="493"/>
      <c r="B85" s="493" t="s">
        <v>228</v>
      </c>
      <c r="C85" s="493"/>
      <c r="D85" s="493"/>
      <c r="E85" s="493"/>
      <c r="F85" s="493"/>
      <c r="G85" s="493"/>
      <c r="H85" s="493"/>
    </row>
    <row r="86" spans="1:8" ht="12">
      <c r="A86" s="493"/>
      <c r="B86" s="493" t="str">
        <f>B84&amp;"["&amp;C82&amp;"～"&amp;C83&amp;"]"&amp;B85</f>
        <v>①　一括価格は、物件[1～2]の各不動産について、一括売却（民事執行法６１条本文）を</v>
      </c>
      <c r="C86" s="493"/>
      <c r="D86" s="493"/>
      <c r="E86" s="493"/>
      <c r="F86" s="493"/>
      <c r="G86" s="493"/>
      <c r="H86" s="493"/>
    </row>
    <row r="87" spans="1:8" ht="12">
      <c r="A87" s="493"/>
      <c r="B87" s="493"/>
      <c r="C87" s="493"/>
      <c r="D87" s="493"/>
      <c r="E87" s="493"/>
      <c r="F87" s="493"/>
      <c r="G87" s="493"/>
      <c r="H87" s="493"/>
    </row>
    <row r="88" spans="1:8" ht="12">
      <c r="A88" s="493"/>
      <c r="B88" s="493" t="s">
        <v>779</v>
      </c>
      <c r="C88" s="493"/>
      <c r="D88" s="493"/>
      <c r="E88" s="493"/>
      <c r="F88" s="493"/>
      <c r="G88" s="493"/>
      <c r="H88" s="493"/>
    </row>
    <row r="89" spans="1:8" ht="12">
      <c r="A89" s="493"/>
      <c r="B89" s="493" t="s">
        <v>647</v>
      </c>
      <c r="C89" s="493"/>
      <c r="D89" s="493"/>
      <c r="E89" s="493"/>
      <c r="F89" s="493"/>
      <c r="G89" s="493"/>
      <c r="H89" s="493"/>
    </row>
    <row r="90" spans="1:8" ht="12">
      <c r="A90" s="493"/>
      <c r="B90" s="493" t="str">
        <f>"③　物件"&amp;"［"&amp;E82&amp;"～"&amp;E83&amp;"］"&amp;B88&amp;"物件["&amp;G82&amp;"～"&amp;G83&amp;"]"&amp;B89</f>
        <v>③　物件［1～0］の土地価格の内訳価格は、物件[2～0]の建物のための敷地利用権等価格を</v>
      </c>
      <c r="C90" s="493"/>
      <c r="D90" s="493"/>
      <c r="E90" s="493"/>
      <c r="F90" s="493"/>
      <c r="G90" s="493"/>
      <c r="H90" s="493"/>
    </row>
    <row r="91" spans="1:8" ht="12">
      <c r="A91" s="493"/>
      <c r="B91" s="493"/>
      <c r="C91" s="493"/>
      <c r="D91" s="493"/>
      <c r="E91" s="493"/>
      <c r="F91" s="493"/>
      <c r="G91" s="493"/>
      <c r="H91" s="493"/>
    </row>
  </sheetData>
  <mergeCells count="34">
    <mergeCell ref="B56:D56"/>
    <mergeCell ref="B57:D57"/>
    <mergeCell ref="B52:D52"/>
    <mergeCell ref="B53:D53"/>
    <mergeCell ref="B54:D54"/>
    <mergeCell ref="B55:D55"/>
    <mergeCell ref="B38:D38"/>
    <mergeCell ref="B39:D39"/>
    <mergeCell ref="B40:D40"/>
    <mergeCell ref="B41:D41"/>
    <mergeCell ref="B50:D50"/>
    <mergeCell ref="B51:D51"/>
    <mergeCell ref="B46:D46"/>
    <mergeCell ref="B47:D47"/>
    <mergeCell ref="B48:D48"/>
    <mergeCell ref="B49:D49"/>
    <mergeCell ref="B42:D42"/>
    <mergeCell ref="B43:D43"/>
    <mergeCell ref="B44:D44"/>
    <mergeCell ref="B45:D45"/>
    <mergeCell ref="D28:E28"/>
    <mergeCell ref="A35:E35"/>
    <mergeCell ref="A36:E36"/>
    <mergeCell ref="A37:E37"/>
    <mergeCell ref="C1:E1"/>
    <mergeCell ref="C2:D2"/>
    <mergeCell ref="C3:D3"/>
    <mergeCell ref="D30:E30"/>
    <mergeCell ref="B11:D12"/>
    <mergeCell ref="B14:D14"/>
    <mergeCell ref="B15:D15"/>
    <mergeCell ref="B18:D19"/>
    <mergeCell ref="D27:E27"/>
    <mergeCell ref="D29:E29"/>
  </mergeCells>
  <printOptions/>
  <pageMargins left="1.1811023622047245" right="0.31496062992125984" top="0.7874015748031497" bottom="0.8267716535433072" header="0.4330708661417323" footer="0.5511811023622047"/>
  <pageSetup orientation="portrait" paperSize="9" scale="90" r:id="rId1"/>
  <headerFooter alignWithMargins="0">
    <oddFooter>&amp;L&amp;C&amp;R&amp;"Osaka,斜体"&amp;P</oddFooter>
  </headerFooter>
  <rowBreaks count="1" manualBreakCount="1">
    <brk id="33" max="4" man="1"/>
  </rowBreaks>
</worksheet>
</file>

<file path=xl/worksheets/sheet5.xml><?xml version="1.0" encoding="utf-8"?>
<worksheet xmlns="http://schemas.openxmlformats.org/spreadsheetml/2006/main" xmlns:r="http://schemas.openxmlformats.org/officeDocument/2006/relationships">
  <dimension ref="A1:G327"/>
  <sheetViews>
    <sheetView showZeros="0" zoomScale="75" zoomScaleNormal="75" workbookViewId="0" topLeftCell="A1">
      <selection activeCell="F3" sqref="F3"/>
    </sheetView>
  </sheetViews>
  <sheetFormatPr defaultColWidth="10.59765625" defaultRowHeight="15"/>
  <cols>
    <col min="1" max="1" width="7.69921875" style="497" customWidth="1"/>
    <col min="2" max="2" width="12.69921875" style="497" customWidth="1"/>
    <col min="3" max="3" width="3.69921875" style="497" customWidth="1"/>
    <col min="4" max="4" width="36.69921875" style="497" customWidth="1"/>
    <col min="5" max="5" width="25.69921875" style="497" customWidth="1"/>
    <col min="6" max="10" width="10.59765625" style="497" customWidth="1"/>
    <col min="11" max="16384" width="11" style="497" customWidth="1"/>
  </cols>
  <sheetData>
    <row r="1" spans="1:5" ht="19.5" customHeight="1">
      <c r="A1" s="574" t="s">
        <v>209</v>
      </c>
      <c r="B1" s="488"/>
      <c r="C1" s="498" t="s">
        <v>325</v>
      </c>
      <c r="D1" s="488"/>
      <c r="E1" s="488"/>
    </row>
    <row r="2" spans="1:5" ht="19.5" customHeight="1">
      <c r="A2" s="748" t="s">
        <v>197</v>
      </c>
      <c r="B2" s="488"/>
      <c r="C2" s="488"/>
      <c r="D2" s="748"/>
      <c r="E2" s="488"/>
    </row>
    <row r="3" spans="1:5" ht="19.5" customHeight="1">
      <c r="A3" s="714" t="s">
        <v>221</v>
      </c>
      <c r="B3" s="749" t="s">
        <v>229</v>
      </c>
      <c r="C3" s="715"/>
      <c r="D3" s="750" t="s">
        <v>198</v>
      </c>
      <c r="E3" s="751" t="s">
        <v>162</v>
      </c>
    </row>
    <row r="4" spans="1:5" ht="19.5" customHeight="1">
      <c r="A4" s="718" t="str">
        <f>IF('基礎'!B31=0," ",'基礎'!B31)</f>
        <v>1</v>
      </c>
      <c r="B4" s="752" t="s">
        <v>230</v>
      </c>
      <c r="C4" s="719"/>
      <c r="D4" s="753" t="str">
        <f>市町村名等&amp;"　"&amp;'基礎'!B32</f>
        <v> 　柳ヶ瀬１丁目</v>
      </c>
      <c r="E4" s="1011" t="str">
        <f>'基礎'!B36</f>
        <v>左記に同じ</v>
      </c>
    </row>
    <row r="5" spans="1:5" ht="19.5" customHeight="1">
      <c r="A5" s="500"/>
      <c r="B5" s="754" t="s">
        <v>291</v>
      </c>
      <c r="C5" s="755"/>
      <c r="D5" s="756" t="str">
        <f>'基礎'!B33</f>
        <v>101番</v>
      </c>
      <c r="E5" s="1012"/>
    </row>
    <row r="6" spans="1:5" ht="19.5" customHeight="1">
      <c r="A6" s="500"/>
      <c r="B6" s="738" t="s">
        <v>292</v>
      </c>
      <c r="C6" s="721"/>
      <c r="D6" s="757" t="str">
        <f>'基礎'!B34</f>
        <v>宅　地</v>
      </c>
      <c r="E6" s="1012"/>
    </row>
    <row r="7" spans="1:5" ht="19.5" customHeight="1">
      <c r="A7" s="501"/>
      <c r="B7" s="740" t="s">
        <v>293</v>
      </c>
      <c r="C7" s="728"/>
      <c r="D7" s="758">
        <f>'基礎'!B35</f>
        <v>100</v>
      </c>
      <c r="E7" s="1013"/>
    </row>
    <row r="8" spans="1:5" ht="19.5" customHeight="1">
      <c r="A8" s="718" t="str">
        <f>IF('基礎'!C31=0," ",'基礎'!C31)</f>
        <v> </v>
      </c>
      <c r="B8" s="752" t="s">
        <v>230</v>
      </c>
      <c r="C8" s="719"/>
      <c r="D8" s="753" t="str">
        <f>市町村名等&amp;"　"&amp;'基礎'!C32</f>
        <v> 　</v>
      </c>
      <c r="E8" s="1011">
        <f>'基礎'!C36</f>
        <v>0</v>
      </c>
    </row>
    <row r="9" spans="1:5" ht="19.5" customHeight="1">
      <c r="A9" s="500"/>
      <c r="B9" s="754" t="s">
        <v>291</v>
      </c>
      <c r="C9" s="755"/>
      <c r="D9" s="756">
        <f>'基礎'!C33</f>
        <v>0</v>
      </c>
      <c r="E9" s="1012"/>
    </row>
    <row r="10" spans="1:5" ht="19.5" customHeight="1">
      <c r="A10" s="500"/>
      <c r="B10" s="738" t="s">
        <v>292</v>
      </c>
      <c r="C10" s="721"/>
      <c r="D10" s="757">
        <f>'基礎'!C34</f>
        <v>0</v>
      </c>
      <c r="E10" s="1012"/>
    </row>
    <row r="11" spans="1:5" s="759" customFormat="1" ht="19.5" customHeight="1">
      <c r="A11" s="734"/>
      <c r="B11" s="740" t="s">
        <v>293</v>
      </c>
      <c r="C11" s="728"/>
      <c r="D11" s="758">
        <f>'基礎'!C35</f>
        <v>0</v>
      </c>
      <c r="E11" s="1013"/>
    </row>
    <row r="12" spans="1:5" ht="19.5" customHeight="1">
      <c r="A12" s="718" t="str">
        <f>IF('基礎'!D31=0," ",'基礎'!D31)</f>
        <v> </v>
      </c>
      <c r="B12" s="752" t="s">
        <v>230</v>
      </c>
      <c r="C12" s="719"/>
      <c r="D12" s="753" t="str">
        <f>市町村名等&amp;"　"&amp;'基礎'!D32</f>
        <v> 　</v>
      </c>
      <c r="E12" s="1011">
        <f>'基礎'!D36</f>
        <v>0</v>
      </c>
    </row>
    <row r="13" spans="1:5" ht="19.5" customHeight="1">
      <c r="A13" s="500"/>
      <c r="B13" s="754" t="s">
        <v>291</v>
      </c>
      <c r="C13" s="755"/>
      <c r="D13" s="756">
        <f>'基礎'!D33</f>
        <v>0</v>
      </c>
      <c r="E13" s="1012"/>
    </row>
    <row r="14" spans="1:5" ht="19.5" customHeight="1">
      <c r="A14" s="500"/>
      <c r="B14" s="738" t="s">
        <v>292</v>
      </c>
      <c r="C14" s="721"/>
      <c r="D14" s="757">
        <f>'基礎'!D34</f>
        <v>0</v>
      </c>
      <c r="E14" s="1012"/>
    </row>
    <row r="15" spans="1:5" ht="19.5" customHeight="1">
      <c r="A15" s="501"/>
      <c r="B15" s="740" t="s">
        <v>293</v>
      </c>
      <c r="C15" s="728"/>
      <c r="D15" s="758">
        <f>'基礎'!D35</f>
        <v>0</v>
      </c>
      <c r="E15" s="1013"/>
    </row>
    <row r="16" spans="1:5" ht="19.5" customHeight="1">
      <c r="A16" s="718" t="str">
        <f>IF('基礎'!E31=0," ",'基礎'!E31)</f>
        <v> </v>
      </c>
      <c r="B16" s="752" t="s">
        <v>230</v>
      </c>
      <c r="C16" s="719"/>
      <c r="D16" s="753" t="str">
        <f>市町村名等&amp;"　"&amp;'基礎'!E32</f>
        <v> 　</v>
      </c>
      <c r="E16" s="1011">
        <f>'基礎'!E36</f>
        <v>0</v>
      </c>
    </row>
    <row r="17" spans="1:6" ht="19.5" customHeight="1">
      <c r="A17" s="500"/>
      <c r="B17" s="754" t="s">
        <v>291</v>
      </c>
      <c r="C17" s="755"/>
      <c r="D17" s="756">
        <f>'基礎'!E33</f>
        <v>0</v>
      </c>
      <c r="E17" s="1012"/>
      <c r="F17" s="710"/>
    </row>
    <row r="18" spans="1:6" ht="19.5" customHeight="1">
      <c r="A18" s="500"/>
      <c r="B18" s="738" t="s">
        <v>292</v>
      </c>
      <c r="C18" s="721"/>
      <c r="D18" s="757">
        <f>'基礎'!E34</f>
        <v>0</v>
      </c>
      <c r="E18" s="1012"/>
      <c r="F18" s="760"/>
    </row>
    <row r="19" spans="1:5" ht="19.5" customHeight="1">
      <c r="A19" s="501"/>
      <c r="B19" s="740" t="s">
        <v>293</v>
      </c>
      <c r="C19" s="728"/>
      <c r="D19" s="758">
        <f>'基礎'!E35</f>
        <v>0</v>
      </c>
      <c r="E19" s="1013"/>
    </row>
    <row r="20" spans="1:5" ht="19.5" customHeight="1">
      <c r="A20" s="718" t="str">
        <f>IF('基礎'!F31=0," ",'基礎'!F31)</f>
        <v> </v>
      </c>
      <c r="B20" s="752" t="s">
        <v>230</v>
      </c>
      <c r="C20" s="719"/>
      <c r="D20" s="753" t="str">
        <f>市町村名等&amp;"　"&amp;'基礎'!F32</f>
        <v> 　</v>
      </c>
      <c r="E20" s="1011">
        <f>'基礎'!F36</f>
        <v>0</v>
      </c>
    </row>
    <row r="21" spans="1:5" ht="19.5" customHeight="1">
      <c r="A21" s="500"/>
      <c r="B21" s="754" t="s">
        <v>291</v>
      </c>
      <c r="C21" s="755"/>
      <c r="D21" s="756">
        <f>'基礎'!F33</f>
        <v>0</v>
      </c>
      <c r="E21" s="1012"/>
    </row>
    <row r="22" spans="1:5" ht="19.5" customHeight="1">
      <c r="A22" s="500"/>
      <c r="B22" s="738" t="s">
        <v>292</v>
      </c>
      <c r="C22" s="721"/>
      <c r="D22" s="757">
        <f>'基礎'!F34</f>
        <v>0</v>
      </c>
      <c r="E22" s="1012"/>
    </row>
    <row r="23" spans="1:5" ht="19.5" customHeight="1">
      <c r="A23" s="501"/>
      <c r="B23" s="740" t="s">
        <v>293</v>
      </c>
      <c r="C23" s="728"/>
      <c r="D23" s="758">
        <f>'基礎'!F35</f>
        <v>0</v>
      </c>
      <c r="E23" s="1013"/>
    </row>
    <row r="24" spans="1:5" ht="19.5" customHeight="1">
      <c r="A24" s="718" t="str">
        <f>IF('基礎'!G31=0," ",'基礎'!G31)</f>
        <v> </v>
      </c>
      <c r="B24" s="752" t="s">
        <v>230</v>
      </c>
      <c r="C24" s="719"/>
      <c r="D24" s="753" t="str">
        <f>市町村名等&amp;"　"&amp;'基礎'!G32</f>
        <v> 　</v>
      </c>
      <c r="E24" s="1011">
        <f>'基礎'!G36</f>
        <v>0</v>
      </c>
    </row>
    <row r="25" spans="1:5" ht="19.5" customHeight="1">
      <c r="A25" s="500"/>
      <c r="B25" s="754" t="s">
        <v>291</v>
      </c>
      <c r="C25" s="755"/>
      <c r="D25" s="756">
        <f>'基礎'!G33</f>
        <v>0</v>
      </c>
      <c r="E25" s="1012"/>
    </row>
    <row r="26" spans="1:5" ht="19.5" customHeight="1">
      <c r="A26" s="500"/>
      <c r="B26" s="738" t="s">
        <v>292</v>
      </c>
      <c r="C26" s="721"/>
      <c r="D26" s="757">
        <f>'基礎'!G34</f>
        <v>0</v>
      </c>
      <c r="E26" s="1012"/>
    </row>
    <row r="27" spans="1:5" ht="19.5" customHeight="1">
      <c r="A27" s="501"/>
      <c r="B27" s="740" t="s">
        <v>293</v>
      </c>
      <c r="C27" s="728"/>
      <c r="D27" s="758">
        <f>'基礎'!G35</f>
        <v>0</v>
      </c>
      <c r="E27" s="1013"/>
    </row>
    <row r="28" spans="1:5" ht="19.5" customHeight="1">
      <c r="A28" s="718" t="str">
        <f>IF('基礎'!H31=0," ",'基礎'!H31)</f>
        <v> </v>
      </c>
      <c r="B28" s="752" t="s">
        <v>230</v>
      </c>
      <c r="C28" s="719"/>
      <c r="D28" s="753" t="str">
        <f>市町村名等&amp;"　"&amp;'基礎'!H32</f>
        <v> 　</v>
      </c>
      <c r="E28" s="1011">
        <f>'基礎'!H36</f>
        <v>0</v>
      </c>
    </row>
    <row r="29" spans="1:5" ht="19.5" customHeight="1">
      <c r="A29" s="500"/>
      <c r="B29" s="754" t="s">
        <v>291</v>
      </c>
      <c r="C29" s="755"/>
      <c r="D29" s="756">
        <f>'基礎'!H33</f>
        <v>0</v>
      </c>
      <c r="E29" s="1012"/>
    </row>
    <row r="30" spans="1:5" ht="19.5" customHeight="1">
      <c r="A30" s="500"/>
      <c r="B30" s="738" t="s">
        <v>292</v>
      </c>
      <c r="C30" s="721"/>
      <c r="D30" s="757">
        <f>'基礎'!H34</f>
        <v>0</v>
      </c>
      <c r="E30" s="1012"/>
    </row>
    <row r="31" spans="1:5" ht="19.5" customHeight="1">
      <c r="A31" s="501"/>
      <c r="B31" s="740" t="s">
        <v>293</v>
      </c>
      <c r="C31" s="728"/>
      <c r="D31" s="758">
        <f>'基礎'!H35</f>
        <v>0</v>
      </c>
      <c r="E31" s="1013"/>
    </row>
    <row r="32" spans="1:5" ht="19.5" customHeight="1">
      <c r="A32" s="718" t="str">
        <f>IF('基礎'!I31=0," ",'基礎'!I31)</f>
        <v> </v>
      </c>
      <c r="B32" s="752" t="s">
        <v>230</v>
      </c>
      <c r="C32" s="719"/>
      <c r="D32" s="753" t="str">
        <f>市町村名等&amp;"　"&amp;'基礎'!I32</f>
        <v> 　</v>
      </c>
      <c r="E32" s="1011">
        <f>'基礎'!I36</f>
        <v>0</v>
      </c>
    </row>
    <row r="33" spans="1:5" ht="19.5" customHeight="1">
      <c r="A33" s="500"/>
      <c r="B33" s="754" t="s">
        <v>291</v>
      </c>
      <c r="C33" s="755"/>
      <c r="D33" s="756">
        <f>'基礎'!I33</f>
        <v>0</v>
      </c>
      <c r="E33" s="1012"/>
    </row>
    <row r="34" spans="1:5" ht="19.5" customHeight="1">
      <c r="A34" s="500"/>
      <c r="B34" s="738" t="s">
        <v>292</v>
      </c>
      <c r="C34" s="721"/>
      <c r="D34" s="757">
        <f>'基礎'!I34</f>
        <v>0</v>
      </c>
      <c r="E34" s="1012"/>
    </row>
    <row r="35" spans="1:5" ht="19.5" customHeight="1">
      <c r="A35" s="501"/>
      <c r="B35" s="740" t="s">
        <v>293</v>
      </c>
      <c r="C35" s="728"/>
      <c r="D35" s="758">
        <f>'基礎'!I35</f>
        <v>0</v>
      </c>
      <c r="E35" s="1013"/>
    </row>
    <row r="36" spans="1:5" ht="19.5" customHeight="1">
      <c r="A36" s="718" t="str">
        <f>IF('基礎'!J31=0," ",'基礎'!J31)</f>
        <v> </v>
      </c>
      <c r="B36" s="752" t="s">
        <v>230</v>
      </c>
      <c r="C36" s="719"/>
      <c r="D36" s="753" t="str">
        <f>市町村名等&amp;"　"&amp;'基礎'!J32</f>
        <v> 　</v>
      </c>
      <c r="E36" s="1011">
        <f>'基礎'!J36</f>
        <v>0</v>
      </c>
    </row>
    <row r="37" spans="1:5" ht="19.5" customHeight="1">
      <c r="A37" s="500"/>
      <c r="B37" s="754" t="s">
        <v>291</v>
      </c>
      <c r="C37" s="755"/>
      <c r="D37" s="756">
        <f>'基礎'!J33</f>
        <v>0</v>
      </c>
      <c r="E37" s="1012"/>
    </row>
    <row r="38" spans="1:5" ht="19.5" customHeight="1">
      <c r="A38" s="500"/>
      <c r="B38" s="738" t="s">
        <v>292</v>
      </c>
      <c r="C38" s="721"/>
      <c r="D38" s="757">
        <f>'基礎'!J34</f>
        <v>0</v>
      </c>
      <c r="E38" s="1012"/>
    </row>
    <row r="39" spans="1:5" ht="19.5" customHeight="1">
      <c r="A39" s="501"/>
      <c r="B39" s="740" t="s">
        <v>293</v>
      </c>
      <c r="C39" s="728"/>
      <c r="D39" s="758">
        <f>'基礎'!J35</f>
        <v>0</v>
      </c>
      <c r="E39" s="1013"/>
    </row>
    <row r="40" spans="1:7" ht="19.5" customHeight="1">
      <c r="A40" s="718" t="str">
        <f>IF('基礎'!K31=0," ",'基礎'!K31)</f>
        <v> </v>
      </c>
      <c r="B40" s="752" t="s">
        <v>230</v>
      </c>
      <c r="C40" s="719"/>
      <c r="D40" s="753" t="str">
        <f>市町村名等&amp;"　"&amp;'基礎'!K32</f>
        <v> 　</v>
      </c>
      <c r="E40" s="1011">
        <f>'基礎'!K36</f>
        <v>0</v>
      </c>
      <c r="G40" s="761" t="s">
        <v>231</v>
      </c>
    </row>
    <row r="41" spans="1:5" ht="19.5" customHeight="1">
      <c r="A41" s="500"/>
      <c r="B41" s="754" t="s">
        <v>291</v>
      </c>
      <c r="C41" s="755"/>
      <c r="D41" s="756">
        <f>'基礎'!K33</f>
        <v>0</v>
      </c>
      <c r="E41" s="1012"/>
    </row>
    <row r="42" spans="1:5" ht="19.5" customHeight="1">
      <c r="A42" s="500"/>
      <c r="B42" s="738" t="s">
        <v>292</v>
      </c>
      <c r="C42" s="721"/>
      <c r="D42" s="757">
        <f>'基礎'!K34</f>
        <v>0</v>
      </c>
      <c r="E42" s="1012"/>
    </row>
    <row r="43" spans="1:5" ht="19.5" customHeight="1">
      <c r="A43" s="501"/>
      <c r="B43" s="740" t="s">
        <v>293</v>
      </c>
      <c r="C43" s="728"/>
      <c r="D43" s="758">
        <f>'基礎'!K35</f>
        <v>0</v>
      </c>
      <c r="E43" s="1013"/>
    </row>
    <row r="44" spans="1:5" ht="19.5" customHeight="1">
      <c r="A44" s="488"/>
      <c r="B44" s="488"/>
      <c r="C44" s="488"/>
      <c r="D44" s="488"/>
      <c r="E44" s="488"/>
    </row>
    <row r="45" spans="1:5" ht="19.5" customHeight="1">
      <c r="A45" s="488"/>
      <c r="B45" s="488"/>
      <c r="C45" s="488"/>
      <c r="D45" s="488"/>
      <c r="E45" s="488"/>
    </row>
    <row r="46" spans="1:5" ht="19.5" customHeight="1">
      <c r="A46" s="488"/>
      <c r="B46" s="488"/>
      <c r="C46" s="488"/>
      <c r="D46" s="488"/>
      <c r="E46" s="488"/>
    </row>
    <row r="47" spans="1:5" ht="14.25">
      <c r="A47" s="488"/>
      <c r="B47" s="488"/>
      <c r="C47" s="488"/>
      <c r="D47" s="488"/>
      <c r="E47" s="488"/>
    </row>
    <row r="48" spans="1:5" ht="14.25">
      <c r="A48" s="488"/>
      <c r="B48" s="488"/>
      <c r="C48" s="488"/>
      <c r="D48" s="488"/>
      <c r="E48" s="488"/>
    </row>
    <row r="49" spans="1:5" ht="14.25">
      <c r="A49" s="488"/>
      <c r="B49" s="488"/>
      <c r="C49" s="488"/>
      <c r="D49" s="488"/>
      <c r="E49" s="488"/>
    </row>
    <row r="50" spans="1:5" ht="14.25">
      <c r="A50" s="488"/>
      <c r="B50" s="488"/>
      <c r="C50" s="488"/>
      <c r="D50" s="488"/>
      <c r="E50" s="488"/>
    </row>
    <row r="51" spans="1:5" ht="14.25">
      <c r="A51" s="488"/>
      <c r="B51" s="488"/>
      <c r="C51" s="488"/>
      <c r="D51" s="488"/>
      <c r="E51" s="488"/>
    </row>
    <row r="52" spans="1:5" ht="14.25">
      <c r="A52" s="488"/>
      <c r="B52" s="488"/>
      <c r="C52" s="488"/>
      <c r="D52" s="488"/>
      <c r="E52" s="488"/>
    </row>
    <row r="53" spans="1:5" ht="14.25">
      <c r="A53" s="488"/>
      <c r="B53" s="488"/>
      <c r="C53" s="488"/>
      <c r="D53" s="488"/>
      <c r="E53" s="488"/>
    </row>
    <row r="54" spans="1:5" ht="14.25">
      <c r="A54" s="488"/>
      <c r="B54" s="488"/>
      <c r="C54" s="488"/>
      <c r="D54" s="488"/>
      <c r="E54" s="488"/>
    </row>
    <row r="55" spans="1:5" ht="14.25">
      <c r="A55" s="488"/>
      <c r="B55" s="488"/>
      <c r="C55" s="488"/>
      <c r="D55" s="488"/>
      <c r="E55" s="488"/>
    </row>
    <row r="56" spans="1:5" ht="14.25">
      <c r="A56" s="488"/>
      <c r="B56" s="488"/>
      <c r="C56" s="488"/>
      <c r="D56" s="488"/>
      <c r="E56" s="488"/>
    </row>
    <row r="57" spans="1:5" ht="14.25">
      <c r="A57" s="488"/>
      <c r="B57" s="488"/>
      <c r="C57" s="488"/>
      <c r="D57" s="488"/>
      <c r="E57" s="488"/>
    </row>
    <row r="58" spans="1:5" ht="14.25">
      <c r="A58" s="488"/>
      <c r="B58" s="488"/>
      <c r="C58" s="488"/>
      <c r="D58" s="488"/>
      <c r="E58" s="488"/>
    </row>
    <row r="59" spans="1:5" ht="14.25">
      <c r="A59" s="488"/>
      <c r="B59" s="488"/>
      <c r="C59" s="488"/>
      <c r="D59" s="488"/>
      <c r="E59" s="488"/>
    </row>
    <row r="60" spans="1:5" ht="14.25">
      <c r="A60" s="488"/>
      <c r="B60" s="488"/>
      <c r="C60" s="488"/>
      <c r="D60" s="488"/>
      <c r="E60" s="488"/>
    </row>
    <row r="61" spans="1:5" ht="14.25">
      <c r="A61" s="488"/>
      <c r="B61" s="488"/>
      <c r="C61" s="488"/>
      <c r="D61" s="488"/>
      <c r="E61" s="488"/>
    </row>
    <row r="62" spans="1:5" ht="14.25">
      <c r="A62" s="488"/>
      <c r="B62" s="488"/>
      <c r="C62" s="488"/>
      <c r="D62" s="488"/>
      <c r="E62" s="488"/>
    </row>
    <row r="63" spans="1:5" ht="14.25">
      <c r="A63" s="488"/>
      <c r="B63" s="488"/>
      <c r="C63" s="488"/>
      <c r="D63" s="488"/>
      <c r="E63" s="488"/>
    </row>
    <row r="64" spans="1:5" ht="14.25">
      <c r="A64" s="488"/>
      <c r="B64" s="488"/>
      <c r="C64" s="488"/>
      <c r="D64" s="488"/>
      <c r="E64" s="488"/>
    </row>
    <row r="65" spans="1:5" ht="14.25">
      <c r="A65" s="488"/>
      <c r="B65" s="488"/>
      <c r="C65" s="488"/>
      <c r="D65" s="488"/>
      <c r="E65" s="488"/>
    </row>
    <row r="66" spans="1:5" ht="14.25">
      <c r="A66" s="488"/>
      <c r="B66" s="488"/>
      <c r="C66" s="488"/>
      <c r="D66" s="488"/>
      <c r="E66" s="488"/>
    </row>
    <row r="67" spans="1:5" ht="14.25">
      <c r="A67" s="488"/>
      <c r="B67" s="488"/>
      <c r="C67" s="488"/>
      <c r="D67" s="488"/>
      <c r="E67" s="488"/>
    </row>
    <row r="68" spans="1:5" ht="14.25">
      <c r="A68" s="488"/>
      <c r="B68" s="488"/>
      <c r="C68" s="488"/>
      <c r="D68" s="488"/>
      <c r="E68" s="488"/>
    </row>
    <row r="69" spans="1:5" ht="14.25">
      <c r="A69" s="488"/>
      <c r="B69" s="488"/>
      <c r="C69" s="488"/>
      <c r="D69" s="488"/>
      <c r="E69" s="488"/>
    </row>
    <row r="70" spans="1:5" ht="14.25">
      <c r="A70" s="488"/>
      <c r="B70" s="488"/>
      <c r="C70" s="488"/>
      <c r="D70" s="488"/>
      <c r="E70" s="488"/>
    </row>
    <row r="71" spans="1:5" ht="14.25">
      <c r="A71" s="488"/>
      <c r="B71" s="488"/>
      <c r="C71" s="488"/>
      <c r="D71" s="488"/>
      <c r="E71" s="488"/>
    </row>
    <row r="72" spans="1:5" ht="14.25">
      <c r="A72" s="488"/>
      <c r="B72" s="488"/>
      <c r="C72" s="488"/>
      <c r="D72" s="488"/>
      <c r="E72" s="488"/>
    </row>
    <row r="73" spans="1:5" ht="14.25">
      <c r="A73" s="488"/>
      <c r="B73" s="488"/>
      <c r="C73" s="488"/>
      <c r="D73" s="488"/>
      <c r="E73" s="488"/>
    </row>
    <row r="74" spans="1:5" ht="14.25">
      <c r="A74" s="488"/>
      <c r="B74" s="488"/>
      <c r="C74" s="488"/>
      <c r="D74" s="488"/>
      <c r="E74" s="488"/>
    </row>
    <row r="75" spans="1:5" ht="14.25">
      <c r="A75" s="488"/>
      <c r="B75" s="488"/>
      <c r="C75" s="488"/>
      <c r="D75" s="488"/>
      <c r="E75" s="488"/>
    </row>
    <row r="76" spans="1:5" ht="14.25">
      <c r="A76" s="488"/>
      <c r="B76" s="488"/>
      <c r="C76" s="488"/>
      <c r="D76" s="488"/>
      <c r="E76" s="488"/>
    </row>
    <row r="77" spans="1:5" ht="14.25">
      <c r="A77" s="488"/>
      <c r="B77" s="488"/>
      <c r="C77" s="488"/>
      <c r="D77" s="488"/>
      <c r="E77" s="488"/>
    </row>
    <row r="78" spans="1:5" ht="14.25">
      <c r="A78" s="488"/>
      <c r="B78" s="488"/>
      <c r="C78" s="488"/>
      <c r="D78" s="488"/>
      <c r="E78" s="488"/>
    </row>
    <row r="79" spans="1:5" ht="14.25">
      <c r="A79" s="488"/>
      <c r="B79" s="488"/>
      <c r="C79" s="488"/>
      <c r="D79" s="488"/>
      <c r="E79" s="488"/>
    </row>
    <row r="80" spans="1:5" ht="14.25">
      <c r="A80" s="488"/>
      <c r="B80" s="488"/>
      <c r="C80" s="488"/>
      <c r="D80" s="488"/>
      <c r="E80" s="488"/>
    </row>
    <row r="81" spans="1:5" ht="14.25">
      <c r="A81" s="488"/>
      <c r="B81" s="488"/>
      <c r="C81" s="488"/>
      <c r="D81" s="488"/>
      <c r="E81" s="488"/>
    </row>
    <row r="82" spans="1:5" ht="14.25">
      <c r="A82" s="488"/>
      <c r="B82" s="488"/>
      <c r="C82" s="488"/>
      <c r="D82" s="488"/>
      <c r="E82" s="488"/>
    </row>
    <row r="83" spans="1:5" ht="14.25">
      <c r="A83" s="488"/>
      <c r="B83" s="488"/>
      <c r="C83" s="488"/>
      <c r="D83" s="488"/>
      <c r="E83" s="488"/>
    </row>
    <row r="84" spans="1:5" ht="14.25">
      <c r="A84" s="488"/>
      <c r="B84" s="488"/>
      <c r="C84" s="488"/>
      <c r="D84" s="488"/>
      <c r="E84" s="488"/>
    </row>
    <row r="85" spans="1:5" ht="14.25">
      <c r="A85" s="488"/>
      <c r="B85" s="488"/>
      <c r="C85" s="488"/>
      <c r="D85" s="488"/>
      <c r="E85" s="488"/>
    </row>
    <row r="86" spans="1:5" ht="14.25">
      <c r="A86" s="488"/>
      <c r="B86" s="488"/>
      <c r="C86" s="488"/>
      <c r="D86" s="488"/>
      <c r="E86" s="488"/>
    </row>
    <row r="87" spans="1:5" ht="14.25">
      <c r="A87" s="488"/>
      <c r="B87" s="488"/>
      <c r="C87" s="488"/>
      <c r="D87" s="488"/>
      <c r="E87" s="488"/>
    </row>
    <row r="88" spans="1:5" ht="14.25">
      <c r="A88" s="488"/>
      <c r="B88" s="488"/>
      <c r="C88" s="488"/>
      <c r="D88" s="488"/>
      <c r="E88" s="488"/>
    </row>
    <row r="89" spans="1:5" ht="14.25">
      <c r="A89" s="488"/>
      <c r="B89" s="488"/>
      <c r="C89" s="488"/>
      <c r="D89" s="488"/>
      <c r="E89" s="488"/>
    </row>
    <row r="90" spans="1:5" ht="14.25">
      <c r="A90" s="488"/>
      <c r="B90" s="488"/>
      <c r="C90" s="488"/>
      <c r="D90" s="488"/>
      <c r="E90" s="488"/>
    </row>
    <row r="91" spans="1:5" ht="14.25">
      <c r="A91" s="488"/>
      <c r="B91" s="488"/>
      <c r="C91" s="488"/>
      <c r="D91" s="488"/>
      <c r="E91" s="488"/>
    </row>
    <row r="92" spans="1:5" ht="14.25">
      <c r="A92" s="488"/>
      <c r="B92" s="488"/>
      <c r="C92" s="488"/>
      <c r="D92" s="488"/>
      <c r="E92" s="488"/>
    </row>
    <row r="93" spans="1:5" ht="14.25">
      <c r="A93" s="488"/>
      <c r="B93" s="488"/>
      <c r="C93" s="488"/>
      <c r="D93" s="488"/>
      <c r="E93" s="488"/>
    </row>
    <row r="94" spans="1:5" ht="14.25">
      <c r="A94" s="488"/>
      <c r="B94" s="488"/>
      <c r="C94" s="488"/>
      <c r="D94" s="488"/>
      <c r="E94" s="488"/>
    </row>
    <row r="95" spans="1:5" ht="14.25">
      <c r="A95" s="488"/>
      <c r="B95" s="488"/>
      <c r="C95" s="488"/>
      <c r="D95" s="488"/>
      <c r="E95" s="488"/>
    </row>
    <row r="96" spans="1:5" ht="14.25">
      <c r="A96" s="488"/>
      <c r="B96" s="488"/>
      <c r="C96" s="488"/>
      <c r="D96" s="488"/>
      <c r="E96" s="488"/>
    </row>
    <row r="97" spans="1:5" ht="14.25">
      <c r="A97" s="488"/>
      <c r="B97" s="488"/>
      <c r="C97" s="488"/>
      <c r="D97" s="488"/>
      <c r="E97" s="488"/>
    </row>
    <row r="98" spans="1:5" ht="14.25">
      <c r="A98" s="488"/>
      <c r="B98" s="488"/>
      <c r="C98" s="488"/>
      <c r="D98" s="488"/>
      <c r="E98" s="488"/>
    </row>
    <row r="99" spans="1:5" ht="14.25">
      <c r="A99" s="488"/>
      <c r="B99" s="488"/>
      <c r="C99" s="488"/>
      <c r="D99" s="488"/>
      <c r="E99" s="488"/>
    </row>
    <row r="100" spans="1:5" ht="14.25">
      <c r="A100" s="488"/>
      <c r="B100" s="488"/>
      <c r="C100" s="488"/>
      <c r="D100" s="488"/>
      <c r="E100" s="488"/>
    </row>
    <row r="101" spans="1:5" ht="14.25">
      <c r="A101" s="488"/>
      <c r="B101" s="488"/>
      <c r="C101" s="488"/>
      <c r="D101" s="488"/>
      <c r="E101" s="488"/>
    </row>
    <row r="102" spans="1:5" ht="14.25">
      <c r="A102" s="488"/>
      <c r="B102" s="488"/>
      <c r="C102" s="488"/>
      <c r="D102" s="488"/>
      <c r="E102" s="488"/>
    </row>
    <row r="103" spans="1:5" ht="14.25">
      <c r="A103" s="488"/>
      <c r="B103" s="488"/>
      <c r="C103" s="488"/>
      <c r="D103" s="488"/>
      <c r="E103" s="488"/>
    </row>
    <row r="104" spans="1:5" ht="14.25">
      <c r="A104" s="488"/>
      <c r="B104" s="488"/>
      <c r="C104" s="488"/>
      <c r="D104" s="488"/>
      <c r="E104" s="488"/>
    </row>
    <row r="105" spans="1:5" ht="14.25">
      <c r="A105" s="488"/>
      <c r="B105" s="488"/>
      <c r="C105" s="488"/>
      <c r="D105" s="488"/>
      <c r="E105" s="488"/>
    </row>
    <row r="106" spans="1:5" ht="14.25">
      <c r="A106" s="488"/>
      <c r="B106" s="488"/>
      <c r="C106" s="488"/>
      <c r="D106" s="488"/>
      <c r="E106" s="488"/>
    </row>
    <row r="107" spans="1:5" ht="14.25">
      <c r="A107" s="488"/>
      <c r="B107" s="488"/>
      <c r="C107" s="488"/>
      <c r="D107" s="488"/>
      <c r="E107" s="488"/>
    </row>
    <row r="108" spans="1:5" ht="14.25">
      <c r="A108" s="488"/>
      <c r="B108" s="488"/>
      <c r="C108" s="488"/>
      <c r="D108" s="488"/>
      <c r="E108" s="488"/>
    </row>
    <row r="109" spans="1:5" ht="14.25">
      <c r="A109" s="488"/>
      <c r="B109" s="488"/>
      <c r="C109" s="488"/>
      <c r="D109" s="488"/>
      <c r="E109" s="488"/>
    </row>
    <row r="110" spans="1:5" ht="14.25">
      <c r="A110" s="488"/>
      <c r="B110" s="488"/>
      <c r="C110" s="488"/>
      <c r="D110" s="488"/>
      <c r="E110" s="488"/>
    </row>
    <row r="111" spans="1:5" ht="14.25">
      <c r="A111" s="488"/>
      <c r="B111" s="488"/>
      <c r="C111" s="488"/>
      <c r="D111" s="488"/>
      <c r="E111" s="488"/>
    </row>
    <row r="112" spans="1:5" ht="14.25">
      <c r="A112" s="488"/>
      <c r="B112" s="488"/>
      <c r="C112" s="488"/>
      <c r="D112" s="488"/>
      <c r="E112" s="488"/>
    </row>
    <row r="113" spans="1:5" ht="14.25">
      <c r="A113" s="488"/>
      <c r="B113" s="488"/>
      <c r="C113" s="488"/>
      <c r="D113" s="488"/>
      <c r="E113" s="488"/>
    </row>
    <row r="114" spans="1:5" ht="14.25">
      <c r="A114" s="488"/>
      <c r="B114" s="488"/>
      <c r="C114" s="488"/>
      <c r="D114" s="488"/>
      <c r="E114" s="488"/>
    </row>
    <row r="115" spans="1:5" ht="14.25">
      <c r="A115" s="488"/>
      <c r="B115" s="488"/>
      <c r="C115" s="488"/>
      <c r="D115" s="488"/>
      <c r="E115" s="488"/>
    </row>
    <row r="116" spans="1:5" ht="14.25">
      <c r="A116" s="488"/>
      <c r="B116" s="488"/>
      <c r="C116" s="488"/>
      <c r="D116" s="488"/>
      <c r="E116" s="488"/>
    </row>
    <row r="117" spans="1:5" ht="14.25">
      <c r="A117" s="488"/>
      <c r="B117" s="488"/>
      <c r="C117" s="488"/>
      <c r="D117" s="488"/>
      <c r="E117" s="488"/>
    </row>
    <row r="118" spans="1:5" ht="14.25">
      <c r="A118" s="488"/>
      <c r="B118" s="488"/>
      <c r="C118" s="488"/>
      <c r="D118" s="488"/>
      <c r="E118" s="488"/>
    </row>
    <row r="119" spans="1:5" ht="14.25">
      <c r="A119" s="488"/>
      <c r="B119" s="488"/>
      <c r="C119" s="488"/>
      <c r="D119" s="488"/>
      <c r="E119" s="488"/>
    </row>
    <row r="120" spans="1:5" ht="14.25">
      <c r="A120" s="488"/>
      <c r="B120" s="488"/>
      <c r="C120" s="488"/>
      <c r="D120" s="488"/>
      <c r="E120" s="488"/>
    </row>
    <row r="121" spans="1:5" ht="14.25">
      <c r="A121" s="488"/>
      <c r="B121" s="488"/>
      <c r="C121" s="488"/>
      <c r="D121" s="488"/>
      <c r="E121" s="488"/>
    </row>
    <row r="122" spans="1:5" ht="14.25">
      <c r="A122" s="488"/>
      <c r="B122" s="488"/>
      <c r="C122" s="488"/>
      <c r="D122" s="488"/>
      <c r="E122" s="488"/>
    </row>
    <row r="123" spans="1:5" ht="14.25">
      <c r="A123" s="488"/>
      <c r="B123" s="488"/>
      <c r="C123" s="488"/>
      <c r="D123" s="488"/>
      <c r="E123" s="488"/>
    </row>
    <row r="124" spans="1:5" ht="14.25">
      <c r="A124" s="488"/>
      <c r="B124" s="488"/>
      <c r="C124" s="488"/>
      <c r="D124" s="488"/>
      <c r="E124" s="488"/>
    </row>
    <row r="125" spans="1:5" ht="14.25">
      <c r="A125" s="488"/>
      <c r="B125" s="488"/>
      <c r="C125" s="488"/>
      <c r="D125" s="488"/>
      <c r="E125" s="488"/>
    </row>
    <row r="126" spans="1:5" ht="14.25">
      <c r="A126" s="488"/>
      <c r="B126" s="488"/>
      <c r="C126" s="488"/>
      <c r="D126" s="488"/>
      <c r="E126" s="488"/>
    </row>
    <row r="127" spans="1:5" ht="14.25">
      <c r="A127" s="488"/>
      <c r="B127" s="488"/>
      <c r="C127" s="488"/>
      <c r="D127" s="488"/>
      <c r="E127" s="488"/>
    </row>
    <row r="128" spans="1:5" ht="14.25">
      <c r="A128" s="488"/>
      <c r="B128" s="488"/>
      <c r="C128" s="488"/>
      <c r="D128" s="488"/>
      <c r="E128" s="488"/>
    </row>
    <row r="129" spans="1:5" ht="14.25">
      <c r="A129" s="488"/>
      <c r="B129" s="488"/>
      <c r="C129" s="488"/>
      <c r="D129" s="488"/>
      <c r="E129" s="488"/>
    </row>
    <row r="130" spans="1:5" ht="14.25">
      <c r="A130" s="488"/>
      <c r="B130" s="488"/>
      <c r="C130" s="488"/>
      <c r="D130" s="488"/>
      <c r="E130" s="488"/>
    </row>
    <row r="131" spans="1:5" ht="14.25">
      <c r="A131" s="488"/>
      <c r="B131" s="488"/>
      <c r="C131" s="488"/>
      <c r="D131" s="488"/>
      <c r="E131" s="488"/>
    </row>
    <row r="132" spans="1:5" ht="14.25">
      <c r="A132" s="488"/>
      <c r="B132" s="488"/>
      <c r="C132" s="488"/>
      <c r="D132" s="488"/>
      <c r="E132" s="488"/>
    </row>
    <row r="133" spans="1:5" ht="14.25">
      <c r="A133" s="488"/>
      <c r="B133" s="488"/>
      <c r="C133" s="488"/>
      <c r="D133" s="488"/>
      <c r="E133" s="488"/>
    </row>
    <row r="134" spans="1:5" ht="14.25">
      <c r="A134" s="488"/>
      <c r="B134" s="488"/>
      <c r="C134" s="488"/>
      <c r="D134" s="488"/>
      <c r="E134" s="488"/>
    </row>
    <row r="135" spans="1:5" ht="14.25">
      <c r="A135" s="488"/>
      <c r="B135" s="488"/>
      <c r="C135" s="488"/>
      <c r="D135" s="488"/>
      <c r="E135" s="488"/>
    </row>
    <row r="136" spans="1:5" ht="14.25">
      <c r="A136" s="488"/>
      <c r="B136" s="488"/>
      <c r="C136" s="488"/>
      <c r="D136" s="488"/>
      <c r="E136" s="488"/>
    </row>
    <row r="137" spans="1:5" ht="14.25">
      <c r="A137" s="488"/>
      <c r="B137" s="488"/>
      <c r="C137" s="488"/>
      <c r="D137" s="488"/>
      <c r="E137" s="488"/>
    </row>
    <row r="138" spans="1:5" ht="14.25">
      <c r="A138" s="488"/>
      <c r="B138" s="488"/>
      <c r="C138" s="488"/>
      <c r="D138" s="488"/>
      <c r="E138" s="488"/>
    </row>
    <row r="139" spans="1:5" ht="14.25">
      <c r="A139" s="488"/>
      <c r="B139" s="488"/>
      <c r="C139" s="488"/>
      <c r="D139" s="488"/>
      <c r="E139" s="488"/>
    </row>
    <row r="140" spans="1:5" ht="14.25">
      <c r="A140" s="488"/>
      <c r="B140" s="488"/>
      <c r="C140" s="488"/>
      <c r="D140" s="488"/>
      <c r="E140" s="488"/>
    </row>
    <row r="141" spans="1:5" ht="14.25">
      <c r="A141" s="488"/>
      <c r="B141" s="488"/>
      <c r="C141" s="488"/>
      <c r="D141" s="488"/>
      <c r="E141" s="488"/>
    </row>
    <row r="142" spans="1:5" ht="14.25">
      <c r="A142" s="488"/>
      <c r="B142" s="488"/>
      <c r="C142" s="488"/>
      <c r="D142" s="488"/>
      <c r="E142" s="488"/>
    </row>
    <row r="143" spans="1:5" ht="14.25">
      <c r="A143" s="488"/>
      <c r="B143" s="488"/>
      <c r="C143" s="488"/>
      <c r="D143" s="488"/>
      <c r="E143" s="488"/>
    </row>
    <row r="144" spans="1:5" ht="14.25">
      <c r="A144" s="488"/>
      <c r="B144" s="488"/>
      <c r="C144" s="488"/>
      <c r="D144" s="488"/>
      <c r="E144" s="488"/>
    </row>
    <row r="145" spans="1:5" ht="14.25">
      <c r="A145" s="488"/>
      <c r="B145" s="488"/>
      <c r="C145" s="488"/>
      <c r="D145" s="488"/>
      <c r="E145" s="488"/>
    </row>
    <row r="146" spans="1:5" ht="14.25">
      <c r="A146" s="488"/>
      <c r="B146" s="488"/>
      <c r="C146" s="488"/>
      <c r="D146" s="488"/>
      <c r="E146" s="488"/>
    </row>
    <row r="147" spans="1:5" ht="14.25">
      <c r="A147" s="488"/>
      <c r="B147" s="488"/>
      <c r="C147" s="488"/>
      <c r="D147" s="488"/>
      <c r="E147" s="488"/>
    </row>
    <row r="148" spans="1:5" ht="14.25">
      <c r="A148" s="488"/>
      <c r="B148" s="488"/>
      <c r="C148" s="488"/>
      <c r="D148" s="488"/>
      <c r="E148" s="488"/>
    </row>
    <row r="149" spans="1:5" ht="14.25">
      <c r="A149" s="488"/>
      <c r="B149" s="488"/>
      <c r="C149" s="488"/>
      <c r="D149" s="488"/>
      <c r="E149" s="488"/>
    </row>
    <row r="150" spans="1:5" ht="14.25">
      <c r="A150" s="488"/>
      <c r="B150" s="488"/>
      <c r="C150" s="488"/>
      <c r="D150" s="488"/>
      <c r="E150" s="488"/>
    </row>
    <row r="151" spans="1:5" ht="14.25">
      <c r="A151" s="488"/>
      <c r="B151" s="488"/>
      <c r="C151" s="488"/>
      <c r="D151" s="488"/>
      <c r="E151" s="488"/>
    </row>
    <row r="152" spans="1:5" ht="14.25">
      <c r="A152" s="488"/>
      <c r="B152" s="488"/>
      <c r="C152" s="488"/>
      <c r="D152" s="488"/>
      <c r="E152" s="488"/>
    </row>
    <row r="153" spans="1:5" ht="14.25">
      <c r="A153" s="488"/>
      <c r="B153" s="488"/>
      <c r="C153" s="488"/>
      <c r="D153" s="488"/>
      <c r="E153" s="488"/>
    </row>
    <row r="154" spans="1:5" ht="14.25">
      <c r="A154" s="488"/>
      <c r="B154" s="488"/>
      <c r="C154" s="488"/>
      <c r="D154" s="488"/>
      <c r="E154" s="488"/>
    </row>
    <row r="155" spans="1:5" ht="14.25">
      <c r="A155" s="488"/>
      <c r="B155" s="488"/>
      <c r="C155" s="488"/>
      <c r="D155" s="488"/>
      <c r="E155" s="488"/>
    </row>
    <row r="156" spans="1:5" ht="14.25">
      <c r="A156" s="488"/>
      <c r="B156" s="488"/>
      <c r="C156" s="488"/>
      <c r="D156" s="488"/>
      <c r="E156" s="488"/>
    </row>
    <row r="157" spans="1:5" ht="14.25">
      <c r="A157" s="488"/>
      <c r="B157" s="488"/>
      <c r="C157" s="488"/>
      <c r="D157" s="488"/>
      <c r="E157" s="488"/>
    </row>
    <row r="158" spans="1:5" ht="14.25">
      <c r="A158" s="488"/>
      <c r="B158" s="488"/>
      <c r="C158" s="488"/>
      <c r="D158" s="488"/>
      <c r="E158" s="488"/>
    </row>
    <row r="159" spans="1:5" ht="14.25">
      <c r="A159" s="488"/>
      <c r="B159" s="488"/>
      <c r="C159" s="488"/>
      <c r="D159" s="488"/>
      <c r="E159" s="488"/>
    </row>
    <row r="160" spans="1:5" ht="14.25">
      <c r="A160" s="488"/>
      <c r="B160" s="488"/>
      <c r="C160" s="488"/>
      <c r="D160" s="488"/>
      <c r="E160" s="488"/>
    </row>
    <row r="161" spans="1:5" ht="14.25">
      <c r="A161" s="488"/>
      <c r="B161" s="488"/>
      <c r="C161" s="488"/>
      <c r="D161" s="488"/>
      <c r="E161" s="488"/>
    </row>
    <row r="162" spans="1:5" ht="14.25">
      <c r="A162" s="488"/>
      <c r="B162" s="488"/>
      <c r="C162" s="488"/>
      <c r="D162" s="488"/>
      <c r="E162" s="488"/>
    </row>
    <row r="163" spans="1:5" ht="14.25">
      <c r="A163" s="488"/>
      <c r="B163" s="488"/>
      <c r="C163" s="488"/>
      <c r="D163" s="488"/>
      <c r="E163" s="488"/>
    </row>
    <row r="164" spans="1:5" ht="14.25">
      <c r="A164" s="488"/>
      <c r="B164" s="488"/>
      <c r="C164" s="488"/>
      <c r="D164" s="488"/>
      <c r="E164" s="488"/>
    </row>
    <row r="165" spans="1:5" ht="14.25">
      <c r="A165" s="488"/>
      <c r="B165" s="488"/>
      <c r="C165" s="488"/>
      <c r="D165" s="488"/>
      <c r="E165" s="488"/>
    </row>
    <row r="166" spans="1:5" ht="14.25">
      <c r="A166" s="488"/>
      <c r="B166" s="488"/>
      <c r="C166" s="488"/>
      <c r="D166" s="488"/>
      <c r="E166" s="488"/>
    </row>
    <row r="167" spans="1:5" ht="14.25">
      <c r="A167" s="488"/>
      <c r="B167" s="488"/>
      <c r="C167" s="488"/>
      <c r="D167" s="488"/>
      <c r="E167" s="488"/>
    </row>
    <row r="168" spans="1:5" ht="14.25">
      <c r="A168" s="488"/>
      <c r="B168" s="488"/>
      <c r="C168" s="488"/>
      <c r="D168" s="488"/>
      <c r="E168" s="488"/>
    </row>
    <row r="169" spans="1:5" ht="14.25">
      <c r="A169" s="488"/>
      <c r="B169" s="488"/>
      <c r="C169" s="488"/>
      <c r="D169" s="488"/>
      <c r="E169" s="488"/>
    </row>
    <row r="170" spans="1:5" ht="14.25">
      <c r="A170" s="488"/>
      <c r="B170" s="488"/>
      <c r="C170" s="488"/>
      <c r="D170" s="488"/>
      <c r="E170" s="488"/>
    </row>
    <row r="171" spans="1:5" ht="14.25">
      <c r="A171" s="488"/>
      <c r="B171" s="488"/>
      <c r="C171" s="488"/>
      <c r="D171" s="488"/>
      <c r="E171" s="488"/>
    </row>
    <row r="172" spans="1:5" ht="14.25">
      <c r="A172" s="488"/>
      <c r="B172" s="488"/>
      <c r="C172" s="488"/>
      <c r="D172" s="488"/>
      <c r="E172" s="488"/>
    </row>
    <row r="173" spans="1:5" ht="14.25">
      <c r="A173" s="488"/>
      <c r="B173" s="488"/>
      <c r="C173" s="488"/>
      <c r="D173" s="488"/>
      <c r="E173" s="488"/>
    </row>
    <row r="174" spans="1:5" ht="14.25">
      <c r="A174" s="488"/>
      <c r="B174" s="488"/>
      <c r="C174" s="488"/>
      <c r="D174" s="488"/>
      <c r="E174" s="488"/>
    </row>
    <row r="175" spans="1:5" ht="14.25">
      <c r="A175" s="488"/>
      <c r="B175" s="488"/>
      <c r="C175" s="488"/>
      <c r="D175" s="488"/>
      <c r="E175" s="488"/>
    </row>
    <row r="176" spans="1:5" ht="14.25">
      <c r="A176" s="488"/>
      <c r="B176" s="488"/>
      <c r="C176" s="488"/>
      <c r="D176" s="488"/>
      <c r="E176" s="488"/>
    </row>
    <row r="177" spans="1:5" ht="14.25">
      <c r="A177" s="488"/>
      <c r="B177" s="488"/>
      <c r="C177" s="488"/>
      <c r="D177" s="488"/>
      <c r="E177" s="488"/>
    </row>
    <row r="178" spans="1:5" ht="14.25">
      <c r="A178" s="488"/>
      <c r="B178" s="488"/>
      <c r="C178" s="488"/>
      <c r="D178" s="488"/>
      <c r="E178" s="488"/>
    </row>
    <row r="179" spans="1:5" ht="14.25">
      <c r="A179" s="488"/>
      <c r="B179" s="488"/>
      <c r="C179" s="488"/>
      <c r="D179" s="488"/>
      <c r="E179" s="488"/>
    </row>
    <row r="180" spans="1:5" ht="14.25">
      <c r="A180" s="488"/>
      <c r="B180" s="488"/>
      <c r="C180" s="488"/>
      <c r="D180" s="488"/>
      <c r="E180" s="488"/>
    </row>
    <row r="181" spans="1:5" ht="14.25">
      <c r="A181" s="488"/>
      <c r="B181" s="488"/>
      <c r="C181" s="488"/>
      <c r="D181" s="488"/>
      <c r="E181" s="488"/>
    </row>
    <row r="182" spans="1:5" ht="14.25">
      <c r="A182" s="488"/>
      <c r="B182" s="488"/>
      <c r="C182" s="488"/>
      <c r="D182" s="488"/>
      <c r="E182" s="488"/>
    </row>
    <row r="183" spans="1:5" ht="14.25">
      <c r="A183" s="488"/>
      <c r="B183" s="488"/>
      <c r="C183" s="488"/>
      <c r="D183" s="488"/>
      <c r="E183" s="488"/>
    </row>
    <row r="184" spans="1:5" ht="14.25">
      <c r="A184" s="488"/>
      <c r="B184" s="488"/>
      <c r="C184" s="488"/>
      <c r="D184" s="488"/>
      <c r="E184" s="488"/>
    </row>
    <row r="185" spans="1:5" ht="14.25">
      <c r="A185" s="488"/>
      <c r="B185" s="488"/>
      <c r="C185" s="488"/>
      <c r="D185" s="488"/>
      <c r="E185" s="488"/>
    </row>
    <row r="186" spans="1:5" ht="14.25">
      <c r="A186" s="488"/>
      <c r="B186" s="488"/>
      <c r="C186" s="488"/>
      <c r="D186" s="488"/>
      <c r="E186" s="488"/>
    </row>
    <row r="187" spans="1:5" ht="14.25">
      <c r="A187" s="488"/>
      <c r="B187" s="488"/>
      <c r="C187" s="488"/>
      <c r="D187" s="488"/>
      <c r="E187" s="488"/>
    </row>
    <row r="188" spans="1:5" ht="14.25">
      <c r="A188" s="488"/>
      <c r="B188" s="488"/>
      <c r="C188" s="488"/>
      <c r="D188" s="488"/>
      <c r="E188" s="488"/>
    </row>
    <row r="189" spans="1:5" ht="14.25">
      <c r="A189" s="488"/>
      <c r="B189" s="488"/>
      <c r="C189" s="488"/>
      <c r="D189" s="488"/>
      <c r="E189" s="488"/>
    </row>
    <row r="190" spans="1:5" ht="14.25">
      <c r="A190" s="488"/>
      <c r="B190" s="488"/>
      <c r="C190" s="488"/>
      <c r="D190" s="488"/>
      <c r="E190" s="488"/>
    </row>
    <row r="191" spans="1:5" ht="14.25">
      <c r="A191" s="488"/>
      <c r="B191" s="488"/>
      <c r="C191" s="488"/>
      <c r="D191" s="488"/>
      <c r="E191" s="488"/>
    </row>
    <row r="192" spans="1:5" ht="14.25">
      <c r="A192" s="488"/>
      <c r="B192" s="488"/>
      <c r="C192" s="488"/>
      <c r="D192" s="488"/>
      <c r="E192" s="488"/>
    </row>
    <row r="193" spans="1:5" ht="14.25">
      <c r="A193" s="488"/>
      <c r="B193" s="488"/>
      <c r="C193" s="488"/>
      <c r="D193" s="488"/>
      <c r="E193" s="488"/>
    </row>
    <row r="194" spans="1:5" ht="14.25">
      <c r="A194" s="488"/>
      <c r="B194" s="488"/>
      <c r="C194" s="488"/>
      <c r="D194" s="488"/>
      <c r="E194" s="488"/>
    </row>
    <row r="195" spans="1:5" ht="14.25">
      <c r="A195" s="488"/>
      <c r="B195" s="488"/>
      <c r="C195" s="488"/>
      <c r="D195" s="488"/>
      <c r="E195" s="488"/>
    </row>
    <row r="196" spans="1:5" ht="14.25">
      <c r="A196" s="488"/>
      <c r="B196" s="488"/>
      <c r="C196" s="488"/>
      <c r="D196" s="488"/>
      <c r="E196" s="488"/>
    </row>
    <row r="197" spans="1:5" ht="14.25">
      <c r="A197" s="488"/>
      <c r="B197" s="488"/>
      <c r="C197" s="488"/>
      <c r="D197" s="488"/>
      <c r="E197" s="488"/>
    </row>
    <row r="198" spans="1:5" ht="14.25">
      <c r="A198" s="488"/>
      <c r="B198" s="488"/>
      <c r="C198" s="488"/>
      <c r="D198" s="488"/>
      <c r="E198" s="488"/>
    </row>
    <row r="199" spans="1:5" ht="14.25">
      <c r="A199" s="488"/>
      <c r="B199" s="488"/>
      <c r="C199" s="488"/>
      <c r="D199" s="488"/>
      <c r="E199" s="488"/>
    </row>
    <row r="200" spans="1:5" ht="14.25">
      <c r="A200" s="488"/>
      <c r="B200" s="488"/>
      <c r="C200" s="488"/>
      <c r="D200" s="488"/>
      <c r="E200" s="488"/>
    </row>
    <row r="201" spans="1:5" ht="14.25">
      <c r="A201" s="488"/>
      <c r="B201" s="488"/>
      <c r="C201" s="488"/>
      <c r="D201" s="488"/>
      <c r="E201" s="488"/>
    </row>
    <row r="202" spans="1:5" ht="14.25">
      <c r="A202" s="488"/>
      <c r="B202" s="488"/>
      <c r="C202" s="488"/>
      <c r="D202" s="488"/>
      <c r="E202" s="488"/>
    </row>
    <row r="203" spans="1:5" ht="14.25">
      <c r="A203" s="488"/>
      <c r="B203" s="488"/>
      <c r="C203" s="488"/>
      <c r="D203" s="488"/>
      <c r="E203" s="488"/>
    </row>
    <row r="204" spans="1:5" ht="14.25">
      <c r="A204" s="488"/>
      <c r="B204" s="488"/>
      <c r="C204" s="488"/>
      <c r="D204" s="488"/>
      <c r="E204" s="488"/>
    </row>
    <row r="205" spans="1:5" ht="14.25">
      <c r="A205" s="488"/>
      <c r="B205" s="488"/>
      <c r="C205" s="488"/>
      <c r="D205" s="488"/>
      <c r="E205" s="488"/>
    </row>
    <row r="206" spans="1:5" ht="14.25">
      <c r="A206" s="488"/>
      <c r="B206" s="488"/>
      <c r="C206" s="488"/>
      <c r="D206" s="488"/>
      <c r="E206" s="488"/>
    </row>
    <row r="207" spans="1:5" ht="14.25">
      <c r="A207" s="488"/>
      <c r="B207" s="488"/>
      <c r="C207" s="488"/>
      <c r="D207" s="488"/>
      <c r="E207" s="488"/>
    </row>
    <row r="208" spans="1:5" ht="14.25">
      <c r="A208" s="488"/>
      <c r="B208" s="488"/>
      <c r="C208" s="488"/>
      <c r="D208" s="488"/>
      <c r="E208" s="488"/>
    </row>
    <row r="209" spans="1:5" ht="14.25">
      <c r="A209" s="488"/>
      <c r="B209" s="488"/>
      <c r="C209" s="488"/>
      <c r="D209" s="488"/>
      <c r="E209" s="488"/>
    </row>
    <row r="210" spans="1:5" ht="14.25">
      <c r="A210" s="488"/>
      <c r="B210" s="488"/>
      <c r="C210" s="488"/>
      <c r="D210" s="488"/>
      <c r="E210" s="488"/>
    </row>
    <row r="211" spans="1:5" ht="14.25">
      <c r="A211" s="488"/>
      <c r="B211" s="488"/>
      <c r="C211" s="488"/>
      <c r="D211" s="488"/>
      <c r="E211" s="488"/>
    </row>
    <row r="212" spans="1:5" ht="14.25">
      <c r="A212" s="488"/>
      <c r="B212" s="488"/>
      <c r="C212" s="488"/>
      <c r="D212" s="488"/>
      <c r="E212" s="488"/>
    </row>
    <row r="213" spans="1:5" ht="14.25">
      <c r="A213" s="488"/>
      <c r="B213" s="488"/>
      <c r="C213" s="488"/>
      <c r="D213" s="488"/>
      <c r="E213" s="488"/>
    </row>
    <row r="214" spans="1:5" ht="14.25">
      <c r="A214" s="488"/>
      <c r="B214" s="488"/>
      <c r="C214" s="488"/>
      <c r="D214" s="488"/>
      <c r="E214" s="488"/>
    </row>
    <row r="215" spans="1:5" ht="14.25">
      <c r="A215" s="488"/>
      <c r="B215" s="488"/>
      <c r="C215" s="488"/>
      <c r="D215" s="488"/>
      <c r="E215" s="488"/>
    </row>
    <row r="216" spans="1:5" ht="14.25">
      <c r="A216" s="488"/>
      <c r="B216" s="488"/>
      <c r="C216" s="488"/>
      <c r="D216" s="488"/>
      <c r="E216" s="488"/>
    </row>
    <row r="217" spans="1:5" ht="14.25">
      <c r="A217" s="488"/>
      <c r="B217" s="488"/>
      <c r="C217" s="488"/>
      <c r="D217" s="488"/>
      <c r="E217" s="488"/>
    </row>
    <row r="218" spans="1:5" ht="14.25">
      <c r="A218" s="488"/>
      <c r="B218" s="488"/>
      <c r="C218" s="488"/>
      <c r="D218" s="488"/>
      <c r="E218" s="488"/>
    </row>
    <row r="219" spans="1:5" ht="14.25">
      <c r="A219" s="488"/>
      <c r="B219" s="488"/>
      <c r="C219" s="488"/>
      <c r="D219" s="488"/>
      <c r="E219" s="488"/>
    </row>
    <row r="220" spans="1:5" ht="14.25">
      <c r="A220" s="488"/>
      <c r="B220" s="488"/>
      <c r="C220" s="488"/>
      <c r="D220" s="488"/>
      <c r="E220" s="488"/>
    </row>
    <row r="221" spans="1:5" ht="14.25">
      <c r="A221" s="488"/>
      <c r="B221" s="488"/>
      <c r="C221" s="488"/>
      <c r="D221" s="488"/>
      <c r="E221" s="488"/>
    </row>
    <row r="222" spans="1:5" ht="14.25">
      <c r="A222" s="488"/>
      <c r="B222" s="488"/>
      <c r="C222" s="488"/>
      <c r="D222" s="488"/>
      <c r="E222" s="488"/>
    </row>
    <row r="223" spans="1:5" ht="14.25">
      <c r="A223" s="488"/>
      <c r="B223" s="488"/>
      <c r="C223" s="488"/>
      <c r="D223" s="488"/>
      <c r="E223" s="488"/>
    </row>
    <row r="224" spans="1:5" ht="14.25">
      <c r="A224" s="488"/>
      <c r="B224" s="488"/>
      <c r="C224" s="488"/>
      <c r="D224" s="488"/>
      <c r="E224" s="488"/>
    </row>
    <row r="225" spans="1:5" ht="14.25">
      <c r="A225" s="488"/>
      <c r="B225" s="488"/>
      <c r="C225" s="488"/>
      <c r="D225" s="488"/>
      <c r="E225" s="488"/>
    </row>
    <row r="226" spans="1:5" ht="14.25">
      <c r="A226" s="488"/>
      <c r="B226" s="488"/>
      <c r="C226" s="488"/>
      <c r="D226" s="488"/>
      <c r="E226" s="488"/>
    </row>
    <row r="227" spans="1:5" ht="14.25">
      <c r="A227" s="488"/>
      <c r="B227" s="488"/>
      <c r="C227" s="488"/>
      <c r="D227" s="488"/>
      <c r="E227" s="488"/>
    </row>
    <row r="228" spans="1:5" ht="14.25">
      <c r="A228" s="488"/>
      <c r="B228" s="488"/>
      <c r="C228" s="488"/>
      <c r="D228" s="488"/>
      <c r="E228" s="488"/>
    </row>
    <row r="229" spans="1:5" ht="14.25">
      <c r="A229" s="488"/>
      <c r="B229" s="488"/>
      <c r="C229" s="488"/>
      <c r="D229" s="488"/>
      <c r="E229" s="488"/>
    </row>
    <row r="230" spans="1:5" ht="14.25">
      <c r="A230" s="488"/>
      <c r="B230" s="488"/>
      <c r="C230" s="488"/>
      <c r="D230" s="488"/>
      <c r="E230" s="488"/>
    </row>
    <row r="231" spans="1:5" ht="14.25">
      <c r="A231" s="488"/>
      <c r="B231" s="488"/>
      <c r="C231" s="488"/>
      <c r="D231" s="488"/>
      <c r="E231" s="488"/>
    </row>
    <row r="232" spans="1:5" ht="14.25">
      <c r="A232" s="488"/>
      <c r="B232" s="488"/>
      <c r="C232" s="488"/>
      <c r="D232" s="488"/>
      <c r="E232" s="488"/>
    </row>
    <row r="233" spans="1:5" ht="14.25">
      <c r="A233" s="488"/>
      <c r="B233" s="488"/>
      <c r="C233" s="488"/>
      <c r="D233" s="488"/>
      <c r="E233" s="488"/>
    </row>
    <row r="234" spans="1:5" ht="14.25">
      <c r="A234" s="488"/>
      <c r="B234" s="488"/>
      <c r="C234" s="488"/>
      <c r="D234" s="488"/>
      <c r="E234" s="488"/>
    </row>
    <row r="235" spans="1:5" ht="14.25">
      <c r="A235" s="488"/>
      <c r="B235" s="488"/>
      <c r="C235" s="488"/>
      <c r="D235" s="488"/>
      <c r="E235" s="488"/>
    </row>
    <row r="236" spans="1:5" ht="14.25">
      <c r="A236" s="488"/>
      <c r="B236" s="488"/>
      <c r="C236" s="488"/>
      <c r="D236" s="488"/>
      <c r="E236" s="488"/>
    </row>
    <row r="237" spans="1:5" ht="14.25">
      <c r="A237" s="488"/>
      <c r="B237" s="488"/>
      <c r="C237" s="488"/>
      <c r="D237" s="488"/>
      <c r="E237" s="488"/>
    </row>
    <row r="238" spans="1:5" ht="14.25">
      <c r="A238" s="488"/>
      <c r="B238" s="488"/>
      <c r="C238" s="488"/>
      <c r="D238" s="488"/>
      <c r="E238" s="488"/>
    </row>
    <row r="239" spans="1:5" ht="14.25">
      <c r="A239" s="488"/>
      <c r="B239" s="488"/>
      <c r="C239" s="488"/>
      <c r="D239" s="488"/>
      <c r="E239" s="488"/>
    </row>
    <row r="240" spans="1:5" ht="14.25">
      <c r="A240" s="488"/>
      <c r="B240" s="488"/>
      <c r="C240" s="488"/>
      <c r="D240" s="488"/>
      <c r="E240" s="488"/>
    </row>
    <row r="241" spans="1:5" ht="14.25">
      <c r="A241" s="488"/>
      <c r="B241" s="488"/>
      <c r="C241" s="488"/>
      <c r="D241" s="488"/>
      <c r="E241" s="488"/>
    </row>
    <row r="242" spans="1:5" ht="14.25">
      <c r="A242" s="488"/>
      <c r="B242" s="488"/>
      <c r="C242" s="488"/>
      <c r="D242" s="488"/>
      <c r="E242" s="488"/>
    </row>
    <row r="243" spans="1:5" ht="14.25">
      <c r="A243" s="488"/>
      <c r="B243" s="488"/>
      <c r="C243" s="488"/>
      <c r="D243" s="488"/>
      <c r="E243" s="488"/>
    </row>
    <row r="244" spans="1:5" ht="14.25">
      <c r="A244" s="488"/>
      <c r="B244" s="488"/>
      <c r="C244" s="488"/>
      <c r="D244" s="488"/>
      <c r="E244" s="488"/>
    </row>
    <row r="245" spans="1:5" ht="14.25">
      <c r="A245" s="488"/>
      <c r="B245" s="488"/>
      <c r="C245" s="488"/>
      <c r="D245" s="488"/>
      <c r="E245" s="488"/>
    </row>
    <row r="246" spans="1:5" ht="14.25">
      <c r="A246" s="488"/>
      <c r="B246" s="488"/>
      <c r="C246" s="488"/>
      <c r="D246" s="488"/>
      <c r="E246" s="488"/>
    </row>
    <row r="247" spans="1:5" ht="14.25">
      <c r="A247" s="488"/>
      <c r="B247" s="488"/>
      <c r="C247" s="488"/>
      <c r="D247" s="488"/>
      <c r="E247" s="488"/>
    </row>
    <row r="248" spans="1:5" ht="14.25">
      <c r="A248" s="488"/>
      <c r="B248" s="488"/>
      <c r="C248" s="488"/>
      <c r="D248" s="488"/>
      <c r="E248" s="488"/>
    </row>
    <row r="249" spans="1:5" ht="14.25">
      <c r="A249" s="488"/>
      <c r="B249" s="488"/>
      <c r="C249" s="488"/>
      <c r="D249" s="488"/>
      <c r="E249" s="488"/>
    </row>
    <row r="250" spans="1:5" ht="14.25">
      <c r="A250" s="488"/>
      <c r="B250" s="488"/>
      <c r="C250" s="488"/>
      <c r="D250" s="488"/>
      <c r="E250" s="488"/>
    </row>
    <row r="251" spans="1:5" ht="14.25">
      <c r="A251" s="488"/>
      <c r="B251" s="488"/>
      <c r="C251" s="488"/>
      <c r="D251" s="488"/>
      <c r="E251" s="488"/>
    </row>
    <row r="252" spans="1:5" ht="14.25">
      <c r="A252" s="488"/>
      <c r="B252" s="488"/>
      <c r="C252" s="488"/>
      <c r="D252" s="488"/>
      <c r="E252" s="488"/>
    </row>
    <row r="253" spans="1:5" ht="14.25">
      <c r="A253" s="488"/>
      <c r="B253" s="488"/>
      <c r="C253" s="488"/>
      <c r="D253" s="488"/>
      <c r="E253" s="488"/>
    </row>
    <row r="254" spans="1:5" ht="14.25">
      <c r="A254" s="488"/>
      <c r="B254" s="488"/>
      <c r="C254" s="488"/>
      <c r="D254" s="488"/>
      <c r="E254" s="488"/>
    </row>
    <row r="255" spans="1:5" ht="14.25">
      <c r="A255" s="488"/>
      <c r="B255" s="488"/>
      <c r="C255" s="488"/>
      <c r="D255" s="488"/>
      <c r="E255" s="488"/>
    </row>
    <row r="256" spans="1:5" ht="14.25">
      <c r="A256" s="488"/>
      <c r="B256" s="488"/>
      <c r="C256" s="488"/>
      <c r="D256" s="488"/>
      <c r="E256" s="488"/>
    </row>
    <row r="257" spans="1:5" ht="14.25">
      <c r="A257" s="488"/>
      <c r="B257" s="488"/>
      <c r="C257" s="488"/>
      <c r="D257" s="488"/>
      <c r="E257" s="488"/>
    </row>
    <row r="258" spans="1:5" ht="14.25">
      <c r="A258" s="488"/>
      <c r="B258" s="488"/>
      <c r="C258" s="488"/>
      <c r="D258" s="488"/>
      <c r="E258" s="488"/>
    </row>
    <row r="259" spans="1:5" ht="14.25">
      <c r="A259" s="488"/>
      <c r="B259" s="488"/>
      <c r="C259" s="488"/>
      <c r="D259" s="488"/>
      <c r="E259" s="488"/>
    </row>
    <row r="260" spans="1:5" ht="14.25">
      <c r="A260" s="488"/>
      <c r="B260" s="488"/>
      <c r="C260" s="488"/>
      <c r="D260" s="488"/>
      <c r="E260" s="488"/>
    </row>
    <row r="261" spans="1:5" ht="14.25">
      <c r="A261" s="488"/>
      <c r="B261" s="488"/>
      <c r="C261" s="488"/>
      <c r="D261" s="488"/>
      <c r="E261" s="488"/>
    </row>
    <row r="262" spans="1:5" ht="14.25">
      <c r="A262" s="488"/>
      <c r="B262" s="488"/>
      <c r="C262" s="488"/>
      <c r="D262" s="488"/>
      <c r="E262" s="488"/>
    </row>
    <row r="263" spans="1:5" ht="14.25">
      <c r="A263" s="488"/>
      <c r="B263" s="488"/>
      <c r="C263" s="488"/>
      <c r="D263" s="488"/>
      <c r="E263" s="488"/>
    </row>
    <row r="264" spans="1:5" ht="14.25">
      <c r="A264" s="488"/>
      <c r="B264" s="488"/>
      <c r="C264" s="488"/>
      <c r="D264" s="488"/>
      <c r="E264" s="488"/>
    </row>
    <row r="265" spans="1:5" ht="14.25">
      <c r="A265" s="488"/>
      <c r="B265" s="488"/>
      <c r="C265" s="488"/>
      <c r="D265" s="488"/>
      <c r="E265" s="488"/>
    </row>
    <row r="266" spans="1:5" ht="14.25">
      <c r="A266" s="488"/>
      <c r="B266" s="488"/>
      <c r="C266" s="488"/>
      <c r="D266" s="488"/>
      <c r="E266" s="488"/>
    </row>
    <row r="267" spans="1:5" ht="14.25">
      <c r="A267" s="488"/>
      <c r="B267" s="488"/>
      <c r="C267" s="488"/>
      <c r="D267" s="488"/>
      <c r="E267" s="488"/>
    </row>
    <row r="268" spans="1:5" ht="14.25">
      <c r="A268" s="488"/>
      <c r="B268" s="488"/>
      <c r="C268" s="488"/>
      <c r="D268" s="488"/>
      <c r="E268" s="488"/>
    </row>
    <row r="269" spans="1:5" ht="14.25">
      <c r="A269" s="488"/>
      <c r="B269" s="488"/>
      <c r="C269" s="488"/>
      <c r="D269" s="488"/>
      <c r="E269" s="488"/>
    </row>
    <row r="270" spans="1:5" ht="14.25">
      <c r="A270" s="488"/>
      <c r="B270" s="488"/>
      <c r="C270" s="488"/>
      <c r="D270" s="488"/>
      <c r="E270" s="488"/>
    </row>
    <row r="271" spans="1:5" ht="14.25">
      <c r="A271" s="488"/>
      <c r="B271" s="488"/>
      <c r="C271" s="488"/>
      <c r="D271" s="488"/>
      <c r="E271" s="488"/>
    </row>
    <row r="272" spans="1:5" ht="14.25">
      <c r="A272" s="488"/>
      <c r="B272" s="488"/>
      <c r="C272" s="488"/>
      <c r="D272" s="488"/>
      <c r="E272" s="488"/>
    </row>
    <row r="273" spans="1:5" ht="14.25">
      <c r="A273" s="488"/>
      <c r="B273" s="488"/>
      <c r="C273" s="488"/>
      <c r="D273" s="488"/>
      <c r="E273" s="488"/>
    </row>
    <row r="274" spans="1:5" ht="14.25">
      <c r="A274" s="488"/>
      <c r="B274" s="488"/>
      <c r="C274" s="488"/>
      <c r="D274" s="488"/>
      <c r="E274" s="488"/>
    </row>
    <row r="275" spans="1:5" ht="14.25">
      <c r="A275" s="488"/>
      <c r="B275" s="488"/>
      <c r="C275" s="488"/>
      <c r="D275" s="488"/>
      <c r="E275" s="488"/>
    </row>
    <row r="276" spans="1:5" ht="14.25">
      <c r="A276" s="488"/>
      <c r="B276" s="488"/>
      <c r="C276" s="488"/>
      <c r="D276" s="488"/>
      <c r="E276" s="488"/>
    </row>
    <row r="277" spans="1:5" ht="14.25">
      <c r="A277" s="488"/>
      <c r="B277" s="488"/>
      <c r="C277" s="488"/>
      <c r="D277" s="488"/>
      <c r="E277" s="488"/>
    </row>
    <row r="278" spans="1:5" ht="14.25">
      <c r="A278" s="488"/>
      <c r="B278" s="488"/>
      <c r="C278" s="488"/>
      <c r="D278" s="488"/>
      <c r="E278" s="488"/>
    </row>
    <row r="279" spans="1:5" ht="14.25">
      <c r="A279" s="488"/>
      <c r="B279" s="488"/>
      <c r="C279" s="488"/>
      <c r="D279" s="488"/>
      <c r="E279" s="488"/>
    </row>
    <row r="280" spans="1:5" ht="14.25">
      <c r="A280" s="488"/>
      <c r="B280" s="488"/>
      <c r="C280" s="488"/>
      <c r="D280" s="488"/>
      <c r="E280" s="488"/>
    </row>
    <row r="281" spans="1:5" ht="14.25">
      <c r="A281" s="488"/>
      <c r="B281" s="488"/>
      <c r="C281" s="488"/>
      <c r="D281" s="488"/>
      <c r="E281" s="488"/>
    </row>
    <row r="282" spans="1:5" ht="14.25">
      <c r="A282" s="488"/>
      <c r="B282" s="488"/>
      <c r="C282" s="488"/>
      <c r="D282" s="488"/>
      <c r="E282" s="488"/>
    </row>
    <row r="283" spans="1:5" ht="14.25">
      <c r="A283" s="488"/>
      <c r="B283" s="488"/>
      <c r="C283" s="488"/>
      <c r="D283" s="488"/>
      <c r="E283" s="488"/>
    </row>
    <row r="284" spans="1:5" ht="14.25">
      <c r="A284" s="488"/>
      <c r="B284" s="488"/>
      <c r="C284" s="488"/>
      <c r="D284" s="488"/>
      <c r="E284" s="488"/>
    </row>
    <row r="285" spans="1:5" ht="14.25">
      <c r="A285" s="488"/>
      <c r="B285" s="488"/>
      <c r="C285" s="488"/>
      <c r="D285" s="488"/>
      <c r="E285" s="488"/>
    </row>
    <row r="286" spans="1:5" ht="14.25">
      <c r="A286" s="488"/>
      <c r="B286" s="488"/>
      <c r="C286" s="488"/>
      <c r="D286" s="488"/>
      <c r="E286" s="488"/>
    </row>
    <row r="287" spans="1:5" ht="14.25">
      <c r="A287" s="488"/>
      <c r="B287" s="488"/>
      <c r="C287" s="488"/>
      <c r="D287" s="488"/>
      <c r="E287" s="488"/>
    </row>
    <row r="288" spans="1:5" ht="14.25">
      <c r="A288" s="488"/>
      <c r="B288" s="488"/>
      <c r="C288" s="488"/>
      <c r="D288" s="488"/>
      <c r="E288" s="488"/>
    </row>
    <row r="289" spans="1:5" ht="14.25">
      <c r="A289" s="488"/>
      <c r="B289" s="488"/>
      <c r="C289" s="488"/>
      <c r="D289" s="488"/>
      <c r="E289" s="488"/>
    </row>
    <row r="290" spans="1:5" ht="14.25">
      <c r="A290" s="488"/>
      <c r="B290" s="488"/>
      <c r="C290" s="488"/>
      <c r="D290" s="488"/>
      <c r="E290" s="488"/>
    </row>
    <row r="291" spans="1:5" ht="14.25">
      <c r="A291" s="488"/>
      <c r="B291" s="488"/>
      <c r="C291" s="488"/>
      <c r="D291" s="488"/>
      <c r="E291" s="488"/>
    </row>
    <row r="292" spans="1:5" ht="14.25">
      <c r="A292" s="488"/>
      <c r="B292" s="488"/>
      <c r="C292" s="488"/>
      <c r="D292" s="488"/>
      <c r="E292" s="488"/>
    </row>
    <row r="293" spans="1:5" ht="14.25">
      <c r="A293" s="488"/>
      <c r="B293" s="488"/>
      <c r="C293" s="488"/>
      <c r="D293" s="488"/>
      <c r="E293" s="488"/>
    </row>
    <row r="294" spans="1:5" ht="14.25">
      <c r="A294" s="488"/>
      <c r="B294" s="488"/>
      <c r="C294" s="488"/>
      <c r="D294" s="488"/>
      <c r="E294" s="488"/>
    </row>
    <row r="295" spans="1:5" ht="14.25">
      <c r="A295" s="488"/>
      <c r="B295" s="488"/>
      <c r="C295" s="488"/>
      <c r="D295" s="488"/>
      <c r="E295" s="488"/>
    </row>
    <row r="296" spans="1:5" ht="14.25">
      <c r="A296" s="488"/>
      <c r="B296" s="488"/>
      <c r="C296" s="488"/>
      <c r="D296" s="488"/>
      <c r="E296" s="488"/>
    </row>
    <row r="297" spans="1:5" ht="14.25">
      <c r="A297" s="488"/>
      <c r="B297" s="488"/>
      <c r="C297" s="488"/>
      <c r="D297" s="488"/>
      <c r="E297" s="488"/>
    </row>
    <row r="298" spans="1:5" ht="14.25">
      <c r="A298" s="488"/>
      <c r="B298" s="488"/>
      <c r="C298" s="488"/>
      <c r="D298" s="488"/>
      <c r="E298" s="488"/>
    </row>
    <row r="299" spans="1:5" ht="14.25">
      <c r="A299" s="488"/>
      <c r="B299" s="488"/>
      <c r="C299" s="488"/>
      <c r="D299" s="488"/>
      <c r="E299" s="488"/>
    </row>
    <row r="300" spans="1:5" ht="14.25">
      <c r="A300" s="488"/>
      <c r="B300" s="488"/>
      <c r="C300" s="488"/>
      <c r="D300" s="488"/>
      <c r="E300" s="488"/>
    </row>
    <row r="301" spans="1:5" ht="14.25">
      <c r="A301" s="488"/>
      <c r="B301" s="488"/>
      <c r="C301" s="488"/>
      <c r="D301" s="488"/>
      <c r="E301" s="488"/>
    </row>
    <row r="302" spans="1:5" ht="14.25">
      <c r="A302" s="488"/>
      <c r="B302" s="488"/>
      <c r="C302" s="488"/>
      <c r="D302" s="488"/>
      <c r="E302" s="488"/>
    </row>
    <row r="303" spans="1:5" ht="14.25">
      <c r="A303" s="488"/>
      <c r="B303" s="488"/>
      <c r="C303" s="488"/>
      <c r="D303" s="488"/>
      <c r="E303" s="488"/>
    </row>
    <row r="304" spans="1:5" ht="14.25">
      <c r="A304" s="488"/>
      <c r="B304" s="488"/>
      <c r="C304" s="488"/>
      <c r="D304" s="488"/>
      <c r="E304" s="488"/>
    </row>
    <row r="305" spans="1:5" ht="14.25">
      <c r="A305" s="488"/>
      <c r="B305" s="488"/>
      <c r="C305" s="488"/>
      <c r="D305" s="488"/>
      <c r="E305" s="488"/>
    </row>
    <row r="306" spans="1:5" ht="14.25">
      <c r="A306" s="488"/>
      <c r="B306" s="488"/>
      <c r="C306" s="488"/>
      <c r="D306" s="488"/>
      <c r="E306" s="488"/>
    </row>
    <row r="307" spans="1:5" ht="14.25">
      <c r="A307" s="488"/>
      <c r="B307" s="488"/>
      <c r="C307" s="488"/>
      <c r="D307" s="488"/>
      <c r="E307" s="488"/>
    </row>
    <row r="308" spans="1:5" ht="14.25">
      <c r="A308" s="488"/>
      <c r="B308" s="488"/>
      <c r="C308" s="488"/>
      <c r="D308" s="488"/>
      <c r="E308" s="488"/>
    </row>
    <row r="309" spans="1:5" ht="14.25">
      <c r="A309" s="488"/>
      <c r="B309" s="488"/>
      <c r="C309" s="488"/>
      <c r="D309" s="488"/>
      <c r="E309" s="488"/>
    </row>
    <row r="310" spans="1:5" ht="14.25">
      <c r="A310" s="488"/>
      <c r="B310" s="488"/>
      <c r="C310" s="488"/>
      <c r="D310" s="488"/>
      <c r="E310" s="488"/>
    </row>
    <row r="311" spans="1:5" ht="14.25">
      <c r="A311" s="488"/>
      <c r="B311" s="488"/>
      <c r="C311" s="488"/>
      <c r="D311" s="488"/>
      <c r="E311" s="488"/>
    </row>
    <row r="312" spans="1:5" ht="14.25">
      <c r="A312" s="488"/>
      <c r="B312" s="488"/>
      <c r="C312" s="488"/>
      <c r="D312" s="488"/>
      <c r="E312" s="488"/>
    </row>
    <row r="313" spans="1:5" ht="14.25">
      <c r="A313" s="488"/>
      <c r="B313" s="488"/>
      <c r="C313" s="488"/>
      <c r="D313" s="488"/>
      <c r="E313" s="488"/>
    </row>
    <row r="314" spans="1:5" ht="14.25">
      <c r="A314" s="488"/>
      <c r="B314" s="488"/>
      <c r="C314" s="488"/>
      <c r="D314" s="488"/>
      <c r="E314" s="488"/>
    </row>
    <row r="315" spans="1:5" ht="14.25">
      <c r="A315" s="488"/>
      <c r="B315" s="488"/>
      <c r="C315" s="488"/>
      <c r="D315" s="488"/>
      <c r="E315" s="488"/>
    </row>
    <row r="316" spans="1:5" ht="14.25">
      <c r="A316" s="488"/>
      <c r="B316" s="488"/>
      <c r="C316" s="488"/>
      <c r="D316" s="488"/>
      <c r="E316" s="488"/>
    </row>
    <row r="317" spans="1:5" ht="14.25">
      <c r="A317" s="488"/>
      <c r="B317" s="488"/>
      <c r="C317" s="488"/>
      <c r="D317" s="488"/>
      <c r="E317" s="488"/>
    </row>
    <row r="318" spans="1:5" ht="14.25">
      <c r="A318" s="488"/>
      <c r="B318" s="488"/>
      <c r="C318" s="488"/>
      <c r="D318" s="488"/>
      <c r="E318" s="488"/>
    </row>
    <row r="319" spans="1:5" ht="14.25">
      <c r="A319" s="488"/>
      <c r="B319" s="488"/>
      <c r="C319" s="488"/>
      <c r="D319" s="488"/>
      <c r="E319" s="488"/>
    </row>
    <row r="320" spans="1:5" ht="14.25">
      <c r="A320" s="488"/>
      <c r="B320" s="488"/>
      <c r="C320" s="488"/>
      <c r="D320" s="488"/>
      <c r="E320" s="488"/>
    </row>
    <row r="321" spans="1:5" ht="14.25">
      <c r="A321" s="488"/>
      <c r="B321" s="488"/>
      <c r="C321" s="488"/>
      <c r="D321" s="488"/>
      <c r="E321" s="488"/>
    </row>
    <row r="322" spans="1:5" ht="14.25">
      <c r="A322" s="488"/>
      <c r="B322" s="488"/>
      <c r="C322" s="488"/>
      <c r="D322" s="488"/>
      <c r="E322" s="488"/>
    </row>
    <row r="323" spans="1:5" ht="14.25">
      <c r="A323" s="488"/>
      <c r="B323" s="488"/>
      <c r="C323" s="488"/>
      <c r="D323" s="488"/>
      <c r="E323" s="488"/>
    </row>
    <row r="324" spans="1:5" ht="14.25">
      <c r="A324" s="488"/>
      <c r="B324" s="488"/>
      <c r="C324" s="488"/>
      <c r="D324" s="488"/>
      <c r="E324" s="488"/>
    </row>
    <row r="325" spans="1:5" ht="14.25">
      <c r="A325" s="488"/>
      <c r="B325" s="488"/>
      <c r="C325" s="488"/>
      <c r="D325" s="488"/>
      <c r="E325" s="488"/>
    </row>
    <row r="326" spans="1:5" ht="14.25">
      <c r="A326" s="488"/>
      <c r="B326" s="488"/>
      <c r="C326" s="488"/>
      <c r="D326" s="488"/>
      <c r="E326" s="488"/>
    </row>
    <row r="327" spans="1:5" ht="14.25">
      <c r="A327" s="488"/>
      <c r="B327" s="488"/>
      <c r="C327" s="488"/>
      <c r="D327" s="488"/>
      <c r="E327" s="488"/>
    </row>
  </sheetData>
  <mergeCells count="10">
    <mergeCell ref="E36:E39"/>
    <mergeCell ref="E40:E43"/>
    <mergeCell ref="E4:E7"/>
    <mergeCell ref="E8:E11"/>
    <mergeCell ref="E28:E31"/>
    <mergeCell ref="E32:E35"/>
    <mergeCell ref="E12:E15"/>
    <mergeCell ref="E16:E19"/>
    <mergeCell ref="E20:E23"/>
    <mergeCell ref="E24:E27"/>
  </mergeCells>
  <printOptions/>
  <pageMargins left="1.1811023622047245" right="0.31496062992125984" top="0.7874015748031497" bottom="0.8267716535433072" header="0.4330708661417323" footer="0.5511811023622047"/>
  <pageSetup orientation="portrait" paperSize="9" scale="90" r:id="rId1"/>
  <headerFooter alignWithMargins="0">
    <oddFooter>&amp;L&amp;C&amp;R&amp;"Osaka,斜体"&amp;P</oddFooter>
  </headerFooter>
</worksheet>
</file>

<file path=xl/worksheets/sheet6.xml><?xml version="1.0" encoding="utf-8"?>
<worksheet xmlns="http://schemas.openxmlformats.org/spreadsheetml/2006/main" xmlns:r="http://schemas.openxmlformats.org/officeDocument/2006/relationships">
  <dimension ref="A1:M82"/>
  <sheetViews>
    <sheetView showZeros="0" zoomScale="75" zoomScaleNormal="75" workbookViewId="0" topLeftCell="A1">
      <selection activeCell="F3" sqref="F3"/>
    </sheetView>
  </sheetViews>
  <sheetFormatPr defaultColWidth="10.59765625" defaultRowHeight="15"/>
  <cols>
    <col min="1" max="1" width="7.69921875" style="488" customWidth="1"/>
    <col min="2" max="3" width="10.69921875" style="488" customWidth="1"/>
    <col min="4" max="4" width="31.69921875" style="488" customWidth="1"/>
    <col min="5" max="5" width="25.69921875" style="488" customWidth="1"/>
    <col min="6" max="14" width="10.59765625" style="488" customWidth="1"/>
    <col min="15" max="16384" width="11" style="488" customWidth="1"/>
  </cols>
  <sheetData>
    <row r="1" spans="1:13" ht="19.5" customHeight="1">
      <c r="A1" s="708" t="s">
        <v>326</v>
      </c>
      <c r="C1" s="709" t="s">
        <v>327</v>
      </c>
      <c r="D1" s="710" t="s">
        <v>6</v>
      </c>
      <c r="E1" s="711" t="s">
        <v>6</v>
      </c>
      <c r="F1" s="712"/>
      <c r="G1" s="711" t="s">
        <v>6</v>
      </c>
      <c r="H1" s="489"/>
      <c r="I1" s="711" t="s">
        <v>6</v>
      </c>
      <c r="J1" s="489"/>
      <c r="K1" s="713" t="s">
        <v>6</v>
      </c>
      <c r="M1" s="713" t="s">
        <v>6</v>
      </c>
    </row>
    <row r="2" spans="1:10" ht="19.5" customHeight="1">
      <c r="A2" s="714" t="s">
        <v>221</v>
      </c>
      <c r="B2" s="1024" t="s">
        <v>878</v>
      </c>
      <c r="C2" s="1025"/>
      <c r="D2" s="716" t="s">
        <v>232</v>
      </c>
      <c r="E2" s="717" t="s">
        <v>162</v>
      </c>
      <c r="F2" s="489"/>
      <c r="G2" s="489"/>
      <c r="H2" s="489"/>
      <c r="I2" s="489"/>
      <c r="J2" s="489"/>
    </row>
    <row r="3" spans="1:5" s="490" customFormat="1" ht="19.5" customHeight="1">
      <c r="A3" s="718" t="str">
        <f>IF('基礎'!B43=0," ",'基礎'!B43)</f>
        <v>2</v>
      </c>
      <c r="B3" s="1020" t="s">
        <v>340</v>
      </c>
      <c r="C3" s="1023"/>
      <c r="D3" s="720" t="str">
        <f>市町村名等&amp;"　"&amp;'基礎'!B45</f>
        <v> 　柳ヶ瀬１丁目201番地</v>
      </c>
      <c r="E3" s="1011" t="str">
        <f>'基礎'!B56</f>
        <v>左記に同じ</v>
      </c>
    </row>
    <row r="4" spans="1:5" ht="19.5" customHeight="1">
      <c r="A4" s="500"/>
      <c r="B4" s="1018" t="s">
        <v>294</v>
      </c>
      <c r="C4" s="1022"/>
      <c r="D4" s="722" t="str">
        <f>'基礎'!B46&amp;"　　"&amp;'基礎'!B44</f>
        <v>201番　　主建物</v>
      </c>
      <c r="E4" s="1012"/>
    </row>
    <row r="5" spans="1:5" ht="19.5" customHeight="1">
      <c r="A5" s="500"/>
      <c r="B5" s="1018" t="s">
        <v>235</v>
      </c>
      <c r="C5" s="1019"/>
      <c r="D5" s="723" t="str">
        <f>'基礎'!B47</f>
        <v>居　宅</v>
      </c>
      <c r="E5" s="1012"/>
    </row>
    <row r="6" spans="1:5" s="502" customFormat="1" ht="19.5" customHeight="1">
      <c r="A6" s="499"/>
      <c r="B6" s="1018" t="s">
        <v>236</v>
      </c>
      <c r="C6" s="1022"/>
      <c r="D6" s="723" t="str">
        <f>'基礎'!B48&amp;'基礎'!B49</f>
        <v>木造瓦葺平家建</v>
      </c>
      <c r="E6" s="1014"/>
    </row>
    <row r="7" spans="1:5" ht="19.5" customHeight="1">
      <c r="A7" s="500"/>
      <c r="B7" s="1015" t="s">
        <v>295</v>
      </c>
      <c r="C7" s="721" t="s">
        <v>239</v>
      </c>
      <c r="D7" s="724">
        <f>'基礎'!B50</f>
        <v>100</v>
      </c>
      <c r="E7" s="725">
        <f>IF('基礎'!B53&gt;0,"１階　約 "&amp;'基礎'!B53&amp;" ㎡","")</f>
      </c>
    </row>
    <row r="8" spans="1:5" ht="19.5" customHeight="1">
      <c r="A8" s="500"/>
      <c r="B8" s="1016"/>
      <c r="C8" s="721" t="s">
        <v>240</v>
      </c>
      <c r="D8" s="724">
        <f>'基礎'!B51</f>
        <v>0</v>
      </c>
      <c r="E8" s="726">
        <f>IF('基礎'!B54&gt;0,"２階　約 "&amp;'基礎'!B54&amp;" ㎡","")</f>
      </c>
    </row>
    <row r="9" spans="1:5" ht="19.5" customHeight="1">
      <c r="A9" s="500"/>
      <c r="B9" s="1016"/>
      <c r="C9" s="727" t="s">
        <v>237</v>
      </c>
      <c r="D9" s="724">
        <f>'基礎'!B52</f>
        <v>0</v>
      </c>
      <c r="E9" s="726">
        <f>IF('基礎'!B55&gt;0,"３階他約 "&amp;'基礎'!B55&amp;" ㎡","")</f>
      </c>
    </row>
    <row r="10" spans="1:5" ht="19.5" customHeight="1">
      <c r="A10" s="501"/>
      <c r="B10" s="1017"/>
      <c r="C10" s="728" t="s">
        <v>296</v>
      </c>
      <c r="D10" s="729">
        <f>'基礎'!B59</f>
        <v>100</v>
      </c>
      <c r="E10" s="730">
        <f>IF('基礎'!B60=0,"","延べ　約 "&amp;'基礎'!B60&amp;" ㎡")</f>
      </c>
    </row>
    <row r="11" spans="1:5" ht="19.5" customHeight="1">
      <c r="A11" s="718" t="str">
        <f>IF('基礎'!C43=0," ",'基礎'!C43)</f>
        <v> </v>
      </c>
      <c r="B11" s="1020" t="s">
        <v>238</v>
      </c>
      <c r="C11" s="1021"/>
      <c r="D11" s="720" t="str">
        <f>市町村名等&amp;"　"&amp;'基礎'!C45</f>
        <v> 　</v>
      </c>
      <c r="E11" s="1011">
        <f>'基礎'!C56</f>
        <v>0</v>
      </c>
    </row>
    <row r="12" spans="1:5" ht="19.5" customHeight="1">
      <c r="A12" s="500"/>
      <c r="B12" s="1018" t="s">
        <v>294</v>
      </c>
      <c r="C12" s="1019"/>
      <c r="D12" s="723" t="str">
        <f>'基礎'!C46&amp;"　　"&amp;'基礎'!C44</f>
        <v>　　</v>
      </c>
      <c r="E12" s="1012"/>
    </row>
    <row r="13" spans="1:5" ht="19.5" customHeight="1">
      <c r="A13" s="500"/>
      <c r="B13" s="1018" t="s">
        <v>235</v>
      </c>
      <c r="C13" s="1019"/>
      <c r="D13" s="723">
        <f>'基礎'!C47</f>
        <v>0</v>
      </c>
      <c r="E13" s="1012"/>
    </row>
    <row r="14" spans="1:5" s="502" customFormat="1" ht="19.5" customHeight="1">
      <c r="A14" s="499"/>
      <c r="B14" s="1018" t="s">
        <v>236</v>
      </c>
      <c r="C14" s="1019"/>
      <c r="D14" s="723">
        <f>'基礎'!C48&amp;'基礎'!C49</f>
      </c>
      <c r="E14" s="1014"/>
    </row>
    <row r="15" spans="1:5" s="732" customFormat="1" ht="19.5" customHeight="1">
      <c r="A15" s="731"/>
      <c r="B15" s="1015" t="s">
        <v>295</v>
      </c>
      <c r="C15" s="721" t="s">
        <v>239</v>
      </c>
      <c r="D15" s="724">
        <f>'基礎'!C50</f>
        <v>0</v>
      </c>
      <c r="E15" s="725">
        <f>IF('基礎'!C53&gt;0,"１階　約 "&amp;'基礎'!C53&amp;" ㎡","")</f>
      </c>
    </row>
    <row r="16" spans="1:5" s="732" customFormat="1" ht="19.5" customHeight="1">
      <c r="A16" s="731"/>
      <c r="B16" s="1016"/>
      <c r="C16" s="721" t="s">
        <v>240</v>
      </c>
      <c r="D16" s="724">
        <f>'基礎'!C51</f>
        <v>0</v>
      </c>
      <c r="E16" s="726">
        <f>IF('基礎'!C54&gt;0,"２階　約 "&amp;'基礎'!C54&amp;" ㎡","")</f>
      </c>
    </row>
    <row r="17" spans="1:5" s="732" customFormat="1" ht="19.5" customHeight="1">
      <c r="A17" s="731"/>
      <c r="B17" s="1016"/>
      <c r="C17" s="733" t="s">
        <v>237</v>
      </c>
      <c r="D17" s="724">
        <f>'基礎'!C52</f>
        <v>0</v>
      </c>
      <c r="E17" s="726">
        <f>IF('基礎'!C55&gt;0,"３階他約 "&amp;'基礎'!C55&amp;" ㎡","")</f>
      </c>
    </row>
    <row r="18" spans="1:5" s="732" customFormat="1" ht="19.5" customHeight="1">
      <c r="A18" s="734"/>
      <c r="B18" s="1017"/>
      <c r="C18" s="735" t="s">
        <v>296</v>
      </c>
      <c r="D18" s="729">
        <f>'基礎'!C59</f>
        <v>0</v>
      </c>
      <c r="E18" s="730">
        <f>IF('基礎'!C60=0,"","延べ　約 "&amp;'基礎'!C60&amp;" ㎡")</f>
      </c>
    </row>
    <row r="19" spans="1:5" ht="19.5" customHeight="1">
      <c r="A19" s="718" t="str">
        <f>IF('基礎'!D43=0," ",'基礎'!D43)</f>
        <v> </v>
      </c>
      <c r="B19" s="1020" t="s">
        <v>238</v>
      </c>
      <c r="C19" s="1021"/>
      <c r="D19" s="720" t="str">
        <f>市町村名等&amp;"　"&amp;'基礎'!D45</f>
        <v> 　</v>
      </c>
      <c r="E19" s="1011">
        <f>'基礎'!D56</f>
        <v>0</v>
      </c>
    </row>
    <row r="20" spans="1:5" ht="19.5" customHeight="1">
      <c r="A20" s="500"/>
      <c r="B20" s="1018" t="s">
        <v>294</v>
      </c>
      <c r="C20" s="1019"/>
      <c r="D20" s="722" t="str">
        <f>'基礎'!D46&amp;"　　"&amp;'基礎'!D44</f>
        <v>　　</v>
      </c>
      <c r="E20" s="1012"/>
    </row>
    <row r="21" spans="1:5" ht="19.5" customHeight="1">
      <c r="A21" s="500"/>
      <c r="B21" s="1018" t="s">
        <v>235</v>
      </c>
      <c r="C21" s="1019"/>
      <c r="D21" s="723">
        <f>'基礎'!D47</f>
        <v>0</v>
      </c>
      <c r="E21" s="1012"/>
    </row>
    <row r="22" spans="1:13" ht="19.5" customHeight="1">
      <c r="A22" s="500"/>
      <c r="B22" s="1018" t="s">
        <v>236</v>
      </c>
      <c r="C22" s="1019"/>
      <c r="D22" s="723">
        <f>'基礎'!D48&amp;'基礎'!D49</f>
      </c>
      <c r="E22" s="1014"/>
      <c r="L22" s="732"/>
      <c r="M22" s="732"/>
    </row>
    <row r="23" spans="1:13" ht="19.5" customHeight="1">
      <c r="A23" s="500"/>
      <c r="B23" s="1015" t="s">
        <v>295</v>
      </c>
      <c r="C23" s="721" t="s">
        <v>239</v>
      </c>
      <c r="D23" s="724">
        <f>'基礎'!D50</f>
        <v>0</v>
      </c>
      <c r="E23" s="725">
        <f>IF('基礎'!D53&gt;0,"１階　約 "&amp;'基礎'!D53&amp;" ㎡","")</f>
      </c>
      <c r="L23" s="732"/>
      <c r="M23" s="732"/>
    </row>
    <row r="24" spans="1:13" ht="19.5" customHeight="1">
      <c r="A24" s="500"/>
      <c r="B24" s="1016"/>
      <c r="C24" s="721" t="s">
        <v>240</v>
      </c>
      <c r="D24" s="724">
        <f>'基礎'!D51</f>
        <v>0</v>
      </c>
      <c r="E24" s="726">
        <f>IF('基礎'!D54&gt;0,"２階　約 "&amp;'基礎'!D54&amp;" ㎡","")</f>
      </c>
      <c r="L24" s="732"/>
      <c r="M24" s="732"/>
    </row>
    <row r="25" spans="1:13" ht="19.5" customHeight="1">
      <c r="A25" s="500"/>
      <c r="B25" s="1016"/>
      <c r="C25" s="727" t="s">
        <v>237</v>
      </c>
      <c r="D25" s="724">
        <f>'基礎'!D52</f>
        <v>0</v>
      </c>
      <c r="E25" s="726">
        <f>IF('基礎'!D55&gt;0,"３階他約 "&amp;'基礎'!D55&amp;" ㎡","")</f>
      </c>
      <c r="L25" s="489"/>
      <c r="M25" s="489"/>
    </row>
    <row r="26" spans="1:13" ht="19.5" customHeight="1">
      <c r="A26" s="501"/>
      <c r="B26" s="1017"/>
      <c r="C26" s="728" t="s">
        <v>296</v>
      </c>
      <c r="D26" s="729">
        <f>'基礎'!D59</f>
        <v>0</v>
      </c>
      <c r="E26" s="730">
        <f>IF('基礎'!D60=0,"","延べ　約 "&amp;'基礎'!D60&amp;" ㎡")</f>
      </c>
      <c r="L26" s="489"/>
      <c r="M26" s="489"/>
    </row>
    <row r="27" spans="1:5" ht="19.5" customHeight="1">
      <c r="A27" s="718" t="str">
        <f>IF('基礎'!E43=0," ",'基礎'!E43)</f>
        <v> </v>
      </c>
      <c r="B27" s="1020" t="s">
        <v>238</v>
      </c>
      <c r="C27" s="1023"/>
      <c r="D27" s="736" t="str">
        <f>市町村名等&amp;"　"&amp;'基礎'!E45</f>
        <v> 　</v>
      </c>
      <c r="E27" s="1011">
        <f>'基礎'!E56</f>
        <v>0</v>
      </c>
    </row>
    <row r="28" spans="1:5" ht="19.5" customHeight="1">
      <c r="A28" s="500"/>
      <c r="B28" s="1018" t="s">
        <v>294</v>
      </c>
      <c r="C28" s="1019"/>
      <c r="D28" s="737" t="str">
        <f>'基礎'!E46&amp;"　　"&amp;'基礎'!E44</f>
        <v>　　</v>
      </c>
      <c r="E28" s="1012"/>
    </row>
    <row r="29" spans="1:5" ht="19.5" customHeight="1">
      <c r="A29" s="500"/>
      <c r="B29" s="1018" t="s">
        <v>235</v>
      </c>
      <c r="C29" s="1019"/>
      <c r="D29" s="737">
        <f>'基礎'!E47</f>
        <v>0</v>
      </c>
      <c r="E29" s="1012"/>
    </row>
    <row r="30" spans="1:5" ht="19.5" customHeight="1">
      <c r="A30" s="500"/>
      <c r="B30" s="1018" t="s">
        <v>236</v>
      </c>
      <c r="C30" s="1022"/>
      <c r="D30" s="737">
        <f>'基礎'!E48&amp;'基礎'!E49</f>
      </c>
      <c r="E30" s="1014"/>
    </row>
    <row r="31" spans="1:5" ht="19.5" customHeight="1">
      <c r="A31" s="500"/>
      <c r="B31" s="1015" t="s">
        <v>295</v>
      </c>
      <c r="C31" s="738" t="s">
        <v>239</v>
      </c>
      <c r="D31" s="739">
        <f>'基礎'!E50</f>
        <v>0</v>
      </c>
      <c r="E31" s="725">
        <f>IF('基礎'!E53&gt;0,"１階　約 "&amp;'基礎'!E53&amp;" ㎡","")</f>
      </c>
    </row>
    <row r="32" spans="1:5" ht="19.5" customHeight="1">
      <c r="A32" s="500"/>
      <c r="B32" s="1016"/>
      <c r="C32" s="738" t="s">
        <v>240</v>
      </c>
      <c r="D32" s="739">
        <f>'基礎'!E51</f>
        <v>0</v>
      </c>
      <c r="E32" s="726">
        <f>IF('基礎'!E54&gt;0,"２階　約 "&amp;'基礎'!E54&amp;" ㎡","")</f>
      </c>
    </row>
    <row r="33" spans="1:5" ht="19.5" customHeight="1">
      <c r="A33" s="500"/>
      <c r="B33" s="1016"/>
      <c r="C33" s="641" t="s">
        <v>237</v>
      </c>
      <c r="D33" s="739">
        <f>'基礎'!E52</f>
        <v>0</v>
      </c>
      <c r="E33" s="726">
        <f>IF('基礎'!E55&gt;0,"３階他約 "&amp;'基礎'!E55&amp;" ㎡","")</f>
      </c>
    </row>
    <row r="34" spans="1:5" ht="19.5" customHeight="1">
      <c r="A34" s="501"/>
      <c r="B34" s="1017"/>
      <c r="C34" s="740" t="s">
        <v>296</v>
      </c>
      <c r="D34" s="741">
        <f>'基礎'!E59</f>
        <v>0</v>
      </c>
      <c r="E34" s="730">
        <f>IF('基礎'!E60=0,"","延べ　約 "&amp;'基礎'!E60&amp;" ㎡")</f>
      </c>
    </row>
    <row r="35" spans="1:5" ht="19.5" customHeight="1">
      <c r="A35" s="718" t="str">
        <f>IF('基礎'!F43=0," ",'基礎'!F43)</f>
        <v> </v>
      </c>
      <c r="B35" s="1020" t="s">
        <v>238</v>
      </c>
      <c r="C35" s="1023"/>
      <c r="D35" s="736" t="str">
        <f>市町村名等&amp;"　"&amp;'基礎'!F45</f>
        <v> 　</v>
      </c>
      <c r="E35" s="1011">
        <f>'基礎'!F56</f>
        <v>0</v>
      </c>
    </row>
    <row r="36" spans="1:5" ht="19.5" customHeight="1">
      <c r="A36" s="500"/>
      <c r="B36" s="1018" t="s">
        <v>294</v>
      </c>
      <c r="C36" s="1019"/>
      <c r="D36" s="742" t="str">
        <f>'基礎'!F46&amp;"　　"&amp;'基礎'!F44</f>
        <v>　　</v>
      </c>
      <c r="E36" s="1012"/>
    </row>
    <row r="37" spans="1:5" ht="19.5" customHeight="1">
      <c r="A37" s="500"/>
      <c r="B37" s="1018" t="s">
        <v>235</v>
      </c>
      <c r="C37" s="1019"/>
      <c r="D37" s="737">
        <f>'基礎'!F47</f>
        <v>0</v>
      </c>
      <c r="E37" s="1012"/>
    </row>
    <row r="38" spans="1:5" ht="19.5" customHeight="1">
      <c r="A38" s="500"/>
      <c r="B38" s="1018" t="s">
        <v>236</v>
      </c>
      <c r="C38" s="1022"/>
      <c r="D38" s="737">
        <f>'基礎'!F48&amp;'基礎'!F49</f>
      </c>
      <c r="E38" s="1014"/>
    </row>
    <row r="39" spans="1:5" ht="19.5" customHeight="1">
      <c r="A39" s="500"/>
      <c r="B39" s="1015" t="s">
        <v>295</v>
      </c>
      <c r="C39" s="738" t="s">
        <v>239</v>
      </c>
      <c r="D39" s="739">
        <f>'基礎'!F50</f>
        <v>0</v>
      </c>
      <c r="E39" s="725">
        <f>IF('基礎'!F53&gt;0,"１階　約 "&amp;'基礎'!F53&amp;" ㎡","")</f>
      </c>
    </row>
    <row r="40" spans="1:5" ht="19.5" customHeight="1">
      <c r="A40" s="500"/>
      <c r="B40" s="1016"/>
      <c r="C40" s="738" t="s">
        <v>240</v>
      </c>
      <c r="D40" s="739">
        <f>'基礎'!F51</f>
        <v>0</v>
      </c>
      <c r="E40" s="726">
        <f>IF('基礎'!F54&gt;0,"２階　約 "&amp;'基礎'!F54&amp;" ㎡","")</f>
      </c>
    </row>
    <row r="41" spans="1:5" ht="19.5" customHeight="1">
      <c r="A41" s="500"/>
      <c r="B41" s="1016"/>
      <c r="C41" s="641" t="s">
        <v>237</v>
      </c>
      <c r="D41" s="739">
        <f>'基礎'!F52</f>
        <v>0</v>
      </c>
      <c r="E41" s="726">
        <f>IF('基礎'!F55&gt;0,"３階他約 "&amp;'基礎'!F55&amp;" ㎡","")</f>
      </c>
    </row>
    <row r="42" spans="1:5" ht="19.5" customHeight="1">
      <c r="A42" s="501"/>
      <c r="B42" s="1017"/>
      <c r="C42" s="740" t="s">
        <v>296</v>
      </c>
      <c r="D42" s="741">
        <f>'基礎'!F59</f>
        <v>0</v>
      </c>
      <c r="E42" s="730">
        <f>IF('基礎'!F60=0,"","延べ　約 "&amp;'基礎'!F60&amp;" ㎡")</f>
      </c>
    </row>
    <row r="43" spans="1:5" ht="19.5" customHeight="1">
      <c r="A43" s="718" t="str">
        <f>IF('基礎'!G43=0," ",'基礎'!G43)</f>
        <v> </v>
      </c>
      <c r="B43" s="1020" t="s">
        <v>238</v>
      </c>
      <c r="C43" s="1023"/>
      <c r="D43" s="736" t="str">
        <f>市町村名等&amp;"　"&amp;'基礎'!G45</f>
        <v> 　</v>
      </c>
      <c r="E43" s="1011">
        <f>'基礎'!G56</f>
        <v>0</v>
      </c>
    </row>
    <row r="44" spans="1:5" ht="19.5" customHeight="1">
      <c r="A44" s="500"/>
      <c r="B44" s="1018" t="s">
        <v>294</v>
      </c>
      <c r="C44" s="1019"/>
      <c r="D44" s="737" t="str">
        <f>'基礎'!G46&amp;"　　"&amp;'基礎'!G44</f>
        <v>　　</v>
      </c>
      <c r="E44" s="1012"/>
    </row>
    <row r="45" spans="1:5" ht="19.5" customHeight="1">
      <c r="A45" s="500"/>
      <c r="B45" s="1018" t="s">
        <v>235</v>
      </c>
      <c r="C45" s="1019"/>
      <c r="D45" s="737">
        <f>'基礎'!G47</f>
        <v>0</v>
      </c>
      <c r="E45" s="1012"/>
    </row>
    <row r="46" spans="1:5" ht="19.5" customHeight="1">
      <c r="A46" s="500"/>
      <c r="B46" s="1018" t="s">
        <v>236</v>
      </c>
      <c r="C46" s="1022"/>
      <c r="D46" s="737">
        <f>'基礎'!G48&amp;'基礎'!G49</f>
      </c>
      <c r="E46" s="1014"/>
    </row>
    <row r="47" spans="1:5" ht="19.5" customHeight="1">
      <c r="A47" s="500"/>
      <c r="B47" s="1015" t="s">
        <v>295</v>
      </c>
      <c r="C47" s="738" t="s">
        <v>239</v>
      </c>
      <c r="D47" s="739">
        <f>'基礎'!G50</f>
        <v>0</v>
      </c>
      <c r="E47" s="725">
        <f>IF('基礎'!G53&gt;0,"１階　約 "&amp;'基礎'!G53&amp;" ㎡","")</f>
      </c>
    </row>
    <row r="48" spans="1:5" ht="19.5" customHeight="1">
      <c r="A48" s="500"/>
      <c r="B48" s="1016"/>
      <c r="C48" s="738" t="s">
        <v>240</v>
      </c>
      <c r="D48" s="739">
        <f>'基礎'!G51</f>
        <v>0</v>
      </c>
      <c r="E48" s="726">
        <f>IF('基礎'!G54&gt;0,"２階　約 "&amp;'基礎'!G54&amp;" ㎡","")</f>
      </c>
    </row>
    <row r="49" spans="1:5" ht="19.5" customHeight="1">
      <c r="A49" s="500"/>
      <c r="B49" s="1016"/>
      <c r="C49" s="641" t="s">
        <v>237</v>
      </c>
      <c r="D49" s="739">
        <f>'基礎'!G52</f>
        <v>0</v>
      </c>
      <c r="E49" s="726">
        <f>IF('基礎'!G55&gt;0,"３階他約 "&amp;'基礎'!G55&amp;" ㎡","")</f>
      </c>
    </row>
    <row r="50" spans="1:5" ht="19.5" customHeight="1">
      <c r="A50" s="501"/>
      <c r="B50" s="1017"/>
      <c r="C50" s="740" t="s">
        <v>296</v>
      </c>
      <c r="D50" s="741">
        <f>'基礎'!G59</f>
        <v>0</v>
      </c>
      <c r="E50" s="730">
        <f>IF('基礎'!G60=0,"","延べ　約 "&amp;'基礎'!G60&amp;" ㎡")</f>
      </c>
    </row>
    <row r="51" spans="1:5" ht="19.5" customHeight="1">
      <c r="A51" s="718" t="str">
        <f>IF('基礎'!H43=0," ",'基礎'!H43)</f>
        <v> </v>
      </c>
      <c r="B51" s="1020" t="s">
        <v>238</v>
      </c>
      <c r="C51" s="1023"/>
      <c r="D51" s="736" t="str">
        <f>市町村名等&amp;"　"&amp;'基礎'!H45</f>
        <v> 　</v>
      </c>
      <c r="E51" s="1011">
        <f>'基礎'!H56</f>
        <v>0</v>
      </c>
    </row>
    <row r="52" spans="1:5" ht="19.5" customHeight="1">
      <c r="A52" s="500"/>
      <c r="B52" s="1018" t="s">
        <v>294</v>
      </c>
      <c r="C52" s="1019"/>
      <c r="D52" s="742" t="str">
        <f>'基礎'!H46&amp;"　　"&amp;'基礎'!H44</f>
        <v>　　</v>
      </c>
      <c r="E52" s="1012"/>
    </row>
    <row r="53" spans="1:5" ht="19.5" customHeight="1">
      <c r="A53" s="500"/>
      <c r="B53" s="1018" t="s">
        <v>235</v>
      </c>
      <c r="C53" s="1019"/>
      <c r="D53" s="737">
        <f>'基礎'!H47</f>
        <v>0</v>
      </c>
      <c r="E53" s="1012"/>
    </row>
    <row r="54" spans="1:5" ht="19.5" customHeight="1">
      <c r="A54" s="500"/>
      <c r="B54" s="1018" t="s">
        <v>236</v>
      </c>
      <c r="C54" s="1022"/>
      <c r="D54" s="737">
        <f>'基礎'!H48&amp;'基礎'!H49</f>
      </c>
      <c r="E54" s="1014"/>
    </row>
    <row r="55" spans="1:5" ht="19.5" customHeight="1">
      <c r="A55" s="500"/>
      <c r="B55" s="1015" t="s">
        <v>295</v>
      </c>
      <c r="C55" s="738" t="s">
        <v>239</v>
      </c>
      <c r="D55" s="739">
        <f>'基礎'!H50</f>
        <v>0</v>
      </c>
      <c r="E55" s="725">
        <f>IF('基礎'!H53&gt;0,"１階　約 "&amp;'基礎'!H53&amp;" ㎡","")</f>
      </c>
    </row>
    <row r="56" spans="1:5" ht="19.5" customHeight="1">
      <c r="A56" s="500"/>
      <c r="B56" s="1016"/>
      <c r="C56" s="738" t="s">
        <v>240</v>
      </c>
      <c r="D56" s="739">
        <f>'基礎'!H51</f>
        <v>0</v>
      </c>
      <c r="E56" s="726">
        <f>IF('基礎'!H54&gt;0,"２階　約 "&amp;'基礎'!H54&amp;" ㎡","")</f>
      </c>
    </row>
    <row r="57" spans="1:5" ht="19.5" customHeight="1">
      <c r="A57" s="500"/>
      <c r="B57" s="1016"/>
      <c r="C57" s="641" t="s">
        <v>237</v>
      </c>
      <c r="D57" s="739">
        <f>'基礎'!H52</f>
        <v>0</v>
      </c>
      <c r="E57" s="726">
        <f>IF('基礎'!H55&gt;0,"３階他約 "&amp;'基礎'!H55&amp;" ㎡","")</f>
      </c>
    </row>
    <row r="58" spans="1:5" ht="19.5" customHeight="1">
      <c r="A58" s="501"/>
      <c r="B58" s="1017"/>
      <c r="C58" s="740" t="s">
        <v>296</v>
      </c>
      <c r="D58" s="741">
        <f>'基礎'!H59</f>
        <v>0</v>
      </c>
      <c r="E58" s="730">
        <f>IF('基礎'!H60=0,"","延べ　約 "&amp;'基礎'!H60&amp;" ㎡")</f>
      </c>
    </row>
    <row r="59" spans="1:5" ht="19.5" customHeight="1">
      <c r="A59" s="718" t="str">
        <f>IF('基礎'!I43=0," ",'基礎'!I43)</f>
        <v> </v>
      </c>
      <c r="B59" s="1020" t="s">
        <v>238</v>
      </c>
      <c r="C59" s="1023"/>
      <c r="D59" s="743" t="str">
        <f>市町村名等&amp;"　"&amp;'基礎'!I45</f>
        <v> 　</v>
      </c>
      <c r="E59" s="1011">
        <f>'基礎'!I56</f>
        <v>0</v>
      </c>
    </row>
    <row r="60" spans="1:5" ht="19.5" customHeight="1">
      <c r="A60" s="500"/>
      <c r="B60" s="1018" t="s">
        <v>294</v>
      </c>
      <c r="C60" s="1019"/>
      <c r="D60" s="744" t="str">
        <f>'基礎'!I46&amp;"　　"&amp;'基礎'!I44</f>
        <v>　　</v>
      </c>
      <c r="E60" s="1012"/>
    </row>
    <row r="61" spans="1:5" ht="19.5" customHeight="1">
      <c r="A61" s="500"/>
      <c r="B61" s="1018" t="s">
        <v>235</v>
      </c>
      <c r="C61" s="1019"/>
      <c r="D61" s="744">
        <f>'基礎'!I47</f>
        <v>0</v>
      </c>
      <c r="E61" s="1012"/>
    </row>
    <row r="62" spans="1:5" ht="19.5" customHeight="1">
      <c r="A62" s="500"/>
      <c r="B62" s="1018" t="s">
        <v>236</v>
      </c>
      <c r="C62" s="1022"/>
      <c r="D62" s="737">
        <f>'基礎'!I48&amp;'基礎'!I49</f>
      </c>
      <c r="E62" s="1014"/>
    </row>
    <row r="63" spans="1:5" ht="19.5" customHeight="1">
      <c r="A63" s="500"/>
      <c r="B63" s="1015" t="s">
        <v>295</v>
      </c>
      <c r="C63" s="745" t="s">
        <v>241</v>
      </c>
      <c r="D63" s="739">
        <f>'基礎'!I50</f>
        <v>0</v>
      </c>
      <c r="E63" s="725">
        <f>IF('基礎'!I53&gt;0,"１階　約 "&amp;'基礎'!I53&amp;" ㎡","")</f>
      </c>
    </row>
    <row r="64" spans="1:5" ht="19.5" customHeight="1">
      <c r="A64" s="500"/>
      <c r="B64" s="1016"/>
      <c r="C64" s="738" t="s">
        <v>147</v>
      </c>
      <c r="D64" s="739">
        <f>'基礎'!I51</f>
        <v>0</v>
      </c>
      <c r="E64" s="726">
        <f>IF('基礎'!I54&gt;0,"２階　約 "&amp;'基礎'!I54&amp;" ㎡","")</f>
      </c>
    </row>
    <row r="65" spans="1:5" ht="19.5" customHeight="1">
      <c r="A65" s="500"/>
      <c r="B65" s="1016"/>
      <c r="C65" s="641" t="s">
        <v>237</v>
      </c>
      <c r="D65" s="739">
        <f>'基礎'!I52</f>
        <v>0</v>
      </c>
      <c r="E65" s="726">
        <f>IF('基礎'!I55&gt;0,"３階他約 "&amp;'基礎'!I55&amp;" ㎡","")</f>
      </c>
    </row>
    <row r="66" spans="1:5" ht="19.5" customHeight="1">
      <c r="A66" s="501"/>
      <c r="B66" s="1017"/>
      <c r="C66" s="740" t="s">
        <v>296</v>
      </c>
      <c r="D66" s="746">
        <f>'基礎'!I59</f>
        <v>0</v>
      </c>
      <c r="E66" s="747">
        <f>IF('基礎'!I60=0,"","延べ　約 "&amp;'基礎'!I60&amp;" ㎡")</f>
      </c>
    </row>
    <row r="67" spans="1:5" ht="19.5" customHeight="1">
      <c r="A67" s="718" t="str">
        <f>IF('基礎'!J43=0," ",'基礎'!J43)</f>
        <v> </v>
      </c>
      <c r="B67" s="1020" t="s">
        <v>238</v>
      </c>
      <c r="C67" s="1023"/>
      <c r="D67" s="736" t="str">
        <f>市町村名等&amp;"　"&amp;'基礎'!J45</f>
        <v> 　</v>
      </c>
      <c r="E67" s="1011">
        <f>'基礎'!J56</f>
        <v>0</v>
      </c>
    </row>
    <row r="68" spans="1:5" ht="19.5" customHeight="1">
      <c r="A68" s="500"/>
      <c r="B68" s="1018" t="s">
        <v>294</v>
      </c>
      <c r="C68" s="1019"/>
      <c r="D68" s="742" t="str">
        <f>'基礎'!J46&amp;"　　"&amp;'基礎'!J44</f>
        <v>　　</v>
      </c>
      <c r="E68" s="1012"/>
    </row>
    <row r="69" spans="1:5" ht="19.5" customHeight="1">
      <c r="A69" s="500"/>
      <c r="B69" s="1018" t="s">
        <v>235</v>
      </c>
      <c r="C69" s="1019"/>
      <c r="D69" s="737">
        <f>'基礎'!J47</f>
        <v>0</v>
      </c>
      <c r="E69" s="1012"/>
    </row>
    <row r="70" spans="1:5" ht="19.5" customHeight="1">
      <c r="A70" s="500"/>
      <c r="B70" s="1018" t="s">
        <v>236</v>
      </c>
      <c r="C70" s="1022"/>
      <c r="D70" s="737">
        <f>'基礎'!J48&amp;'基礎'!J49</f>
      </c>
      <c r="E70" s="1014"/>
    </row>
    <row r="71" spans="1:5" ht="19.5" customHeight="1">
      <c r="A71" s="500"/>
      <c r="B71" s="1015" t="s">
        <v>295</v>
      </c>
      <c r="C71" s="738" t="s">
        <v>239</v>
      </c>
      <c r="D71" s="739">
        <f>'基礎'!J50</f>
        <v>0</v>
      </c>
      <c r="E71" s="725">
        <f>IF('基礎'!J53&gt;0,"１階　約 "&amp;'基礎'!J53&amp;" ㎡","")</f>
      </c>
    </row>
    <row r="72" spans="1:5" ht="19.5" customHeight="1">
      <c r="A72" s="500"/>
      <c r="B72" s="1016"/>
      <c r="C72" s="738" t="s">
        <v>240</v>
      </c>
      <c r="D72" s="739">
        <f>'基礎'!J51</f>
        <v>0</v>
      </c>
      <c r="E72" s="726">
        <f>IF('基礎'!J54&gt;0,"２階　約 "&amp;'基礎'!J54&amp;" ㎡","")</f>
      </c>
    </row>
    <row r="73" spans="1:5" ht="19.5" customHeight="1">
      <c r="A73" s="500"/>
      <c r="B73" s="1016"/>
      <c r="C73" s="641" t="s">
        <v>237</v>
      </c>
      <c r="D73" s="739">
        <f>'基礎'!J52</f>
        <v>0</v>
      </c>
      <c r="E73" s="726">
        <f>IF('基礎'!J55&gt;0,"３階他約 "&amp;'基礎'!J55&amp;" ㎡","")</f>
      </c>
    </row>
    <row r="74" spans="1:5" ht="19.5" customHeight="1">
      <c r="A74" s="501"/>
      <c r="B74" s="1017"/>
      <c r="C74" s="740" t="s">
        <v>296</v>
      </c>
      <c r="D74" s="741">
        <f>'基礎'!J59</f>
        <v>0</v>
      </c>
      <c r="E74" s="730">
        <f>IF('基礎'!J60=0,"","延べ　約 "&amp;'基礎'!J60&amp;" ㎡")</f>
      </c>
    </row>
    <row r="75" spans="1:5" ht="19.5" customHeight="1">
      <c r="A75" s="718" t="str">
        <f>IF('基礎'!K43=0," ",'基礎'!K43)</f>
        <v> </v>
      </c>
      <c r="B75" s="1020" t="s">
        <v>238</v>
      </c>
      <c r="C75" s="1023"/>
      <c r="D75" s="736" t="str">
        <f>市町村名等&amp;"　"&amp;'基礎'!K45</f>
        <v> 　</v>
      </c>
      <c r="E75" s="1011">
        <f>'基礎'!K56</f>
        <v>0</v>
      </c>
    </row>
    <row r="76" spans="1:5" ht="19.5" customHeight="1">
      <c r="A76" s="500"/>
      <c r="B76" s="1018" t="s">
        <v>294</v>
      </c>
      <c r="C76" s="1019"/>
      <c r="D76" s="737" t="str">
        <f>'基礎'!K46&amp;"　　"&amp;'基礎'!K44</f>
        <v>　　</v>
      </c>
      <c r="E76" s="1012"/>
    </row>
    <row r="77" spans="1:5" ht="19.5" customHeight="1">
      <c r="A77" s="500"/>
      <c r="B77" s="1018" t="s">
        <v>235</v>
      </c>
      <c r="C77" s="1019"/>
      <c r="D77" s="737">
        <f>'基礎'!K47</f>
        <v>0</v>
      </c>
      <c r="E77" s="1012"/>
    </row>
    <row r="78" spans="1:5" ht="19.5" customHeight="1">
      <c r="A78" s="500"/>
      <c r="B78" s="1018" t="s">
        <v>236</v>
      </c>
      <c r="C78" s="1022"/>
      <c r="D78" s="737">
        <f>'基礎'!K48&amp;'基礎'!K49</f>
      </c>
      <c r="E78" s="1014"/>
    </row>
    <row r="79" spans="1:5" ht="19.5" customHeight="1">
      <c r="A79" s="500"/>
      <c r="B79" s="1015" t="s">
        <v>295</v>
      </c>
      <c r="C79" s="738" t="s">
        <v>239</v>
      </c>
      <c r="D79" s="739">
        <f>'基礎'!K50</f>
        <v>0</v>
      </c>
      <c r="E79" s="725">
        <f>IF('基礎'!K53&gt;0,"１階　約 "&amp;'基礎'!K53&amp;" ㎡","")</f>
      </c>
    </row>
    <row r="80" spans="1:5" ht="19.5" customHeight="1">
      <c r="A80" s="500"/>
      <c r="B80" s="1016"/>
      <c r="C80" s="738" t="s">
        <v>240</v>
      </c>
      <c r="D80" s="739">
        <f>'基礎'!K51</f>
        <v>0</v>
      </c>
      <c r="E80" s="726">
        <f>IF('基礎'!K54&gt;0,"２階　約 "&amp;'基礎'!K54&amp;" ㎡","")</f>
      </c>
    </row>
    <row r="81" spans="1:5" ht="19.5" customHeight="1">
      <c r="A81" s="500"/>
      <c r="B81" s="1016"/>
      <c r="C81" s="641" t="s">
        <v>237</v>
      </c>
      <c r="D81" s="739">
        <f>'基礎'!K52</f>
        <v>0</v>
      </c>
      <c r="E81" s="726">
        <f>IF('基礎'!K55&gt;0,"３階他約 "&amp;'基礎'!K55&amp;" ㎡","")</f>
      </c>
    </row>
    <row r="82" spans="1:5" ht="19.5" customHeight="1">
      <c r="A82" s="501"/>
      <c r="B82" s="1017"/>
      <c r="C82" s="740" t="s">
        <v>296</v>
      </c>
      <c r="D82" s="741">
        <f>'基礎'!K59</f>
        <v>0</v>
      </c>
      <c r="E82" s="730">
        <f>IF('基礎'!K60=0,"","延べ　約 "&amp;'基礎'!K60&amp;" ㎡")</f>
      </c>
    </row>
  </sheetData>
  <mergeCells count="61">
    <mergeCell ref="B78:C78"/>
    <mergeCell ref="B76:C76"/>
    <mergeCell ref="B77:C77"/>
    <mergeCell ref="B59:C59"/>
    <mergeCell ref="B60:C60"/>
    <mergeCell ref="B75:C75"/>
    <mergeCell ref="B52:C52"/>
    <mergeCell ref="B54:C54"/>
    <mergeCell ref="B53:C53"/>
    <mergeCell ref="B27:C27"/>
    <mergeCell ref="B28:C28"/>
    <mergeCell ref="B39:B42"/>
    <mergeCell ref="B31:B34"/>
    <mergeCell ref="B29:C29"/>
    <mergeCell ref="B51:C51"/>
    <mergeCell ref="B43:C43"/>
    <mergeCell ref="B2:C2"/>
    <mergeCell ref="B4:C4"/>
    <mergeCell ref="B6:C6"/>
    <mergeCell ref="B3:C3"/>
    <mergeCell ref="B5:C5"/>
    <mergeCell ref="B47:B50"/>
    <mergeCell ref="B44:C44"/>
    <mergeCell ref="B46:C46"/>
    <mergeCell ref="B45:C45"/>
    <mergeCell ref="B20:C20"/>
    <mergeCell ref="B19:C19"/>
    <mergeCell ref="B21:C21"/>
    <mergeCell ref="B38:C38"/>
    <mergeCell ref="B37:C37"/>
    <mergeCell ref="B22:C22"/>
    <mergeCell ref="B30:C30"/>
    <mergeCell ref="B36:C36"/>
    <mergeCell ref="B35:C35"/>
    <mergeCell ref="B23:B26"/>
    <mergeCell ref="B79:B82"/>
    <mergeCell ref="B71:B74"/>
    <mergeCell ref="B63:B66"/>
    <mergeCell ref="B55:B58"/>
    <mergeCell ref="B61:C61"/>
    <mergeCell ref="B62:C62"/>
    <mergeCell ref="B69:C69"/>
    <mergeCell ref="B70:C70"/>
    <mergeCell ref="B68:C68"/>
    <mergeCell ref="B67:C67"/>
    <mergeCell ref="B15:B18"/>
    <mergeCell ref="B7:B10"/>
    <mergeCell ref="B14:C14"/>
    <mergeCell ref="B13:C13"/>
    <mergeCell ref="B12:C12"/>
    <mergeCell ref="B11:C11"/>
    <mergeCell ref="E3:E6"/>
    <mergeCell ref="E11:E14"/>
    <mergeCell ref="E19:E22"/>
    <mergeCell ref="E27:E30"/>
    <mergeCell ref="E75:E78"/>
    <mergeCell ref="E35:E38"/>
    <mergeCell ref="E43:E46"/>
    <mergeCell ref="E51:E54"/>
    <mergeCell ref="E59:E62"/>
    <mergeCell ref="E67:E70"/>
  </mergeCells>
  <printOptions/>
  <pageMargins left="1.1811023622047245" right="0.31496062992125984" top="0.7874015748031497" bottom="0.8267716535433072" header="0.4330708661417323" footer="0.5511811023622047"/>
  <pageSetup orientation="portrait" paperSize="9" scale="90" r:id="rId1"/>
  <headerFooter alignWithMargins="0">
    <oddFooter>&amp;L&amp;C&amp;R&amp;"Osaka,斜体"&amp;P</oddFooter>
  </headerFooter>
</worksheet>
</file>

<file path=xl/worksheets/sheet7.xml><?xml version="1.0" encoding="utf-8"?>
<worksheet xmlns="http://schemas.openxmlformats.org/spreadsheetml/2006/main" xmlns:r="http://schemas.openxmlformats.org/officeDocument/2006/relationships">
  <dimension ref="A1:G32"/>
  <sheetViews>
    <sheetView showZeros="0" zoomScale="75" zoomScaleNormal="75" workbookViewId="0" topLeftCell="A1">
      <selection activeCell="C3" sqref="C3:G4"/>
    </sheetView>
  </sheetViews>
  <sheetFormatPr defaultColWidth="10.59765625" defaultRowHeight="15"/>
  <cols>
    <col min="1" max="2" width="12.59765625" style="697" customWidth="1"/>
    <col min="3" max="6" width="10.59765625" style="697" customWidth="1"/>
    <col min="7" max="7" width="12.59765625" style="697" customWidth="1"/>
    <col min="8" max="8" width="10.59765625" style="697" customWidth="1"/>
    <col min="9" max="9" width="9.59765625" style="697" customWidth="1"/>
    <col min="10" max="16384" width="11" style="697" customWidth="1"/>
  </cols>
  <sheetData>
    <row r="1" spans="1:6" ht="24" customHeight="1">
      <c r="A1" s="574" t="s">
        <v>480</v>
      </c>
      <c r="D1" s="698"/>
      <c r="E1" s="698"/>
      <c r="F1" s="698"/>
    </row>
    <row r="2" spans="1:7" ht="24" customHeight="1">
      <c r="A2" s="699" t="s">
        <v>373</v>
      </c>
      <c r="B2" s="700"/>
      <c r="C2" s="701"/>
      <c r="D2" s="701" t="str">
        <f>"（　物件　"&amp;'基礎'!G29&amp;"　）"</f>
        <v>（　物件　1　）</v>
      </c>
      <c r="E2" s="701"/>
      <c r="F2" s="701"/>
      <c r="G2" s="701"/>
    </row>
    <row r="3" spans="1:7" ht="24" customHeight="1">
      <c r="A3" s="1074" t="s">
        <v>374</v>
      </c>
      <c r="B3" s="1075"/>
      <c r="C3" s="1058" t="str">
        <f>'要因'!B4</f>
        <v>岐阜市役所の北方約９００ｍに位置する。</v>
      </c>
      <c r="D3" s="1059"/>
      <c r="E3" s="1059"/>
      <c r="F3" s="1059"/>
      <c r="G3" s="1060"/>
    </row>
    <row r="4" spans="1:7" ht="24" customHeight="1">
      <c r="A4" s="1076"/>
      <c r="B4" s="1077"/>
      <c r="C4" s="1061"/>
      <c r="D4" s="1062"/>
      <c r="E4" s="1062"/>
      <c r="F4" s="1062"/>
      <c r="G4" s="1063"/>
    </row>
    <row r="5" spans="1:7" ht="24" customHeight="1">
      <c r="A5" s="1076"/>
      <c r="B5" s="1077"/>
      <c r="C5" s="702" t="s">
        <v>210</v>
      </c>
      <c r="D5" s="703" t="s">
        <v>211</v>
      </c>
      <c r="E5" s="703" t="s">
        <v>169</v>
      </c>
      <c r="F5" s="703" t="s">
        <v>170</v>
      </c>
      <c r="G5" s="704" t="s">
        <v>171</v>
      </c>
    </row>
    <row r="6" spans="1:7" ht="24" customHeight="1">
      <c r="A6" s="1066" t="s">
        <v>988</v>
      </c>
      <c r="B6" s="1067"/>
      <c r="C6" s="705" t="str">
        <f>'要因'!B6</f>
        <v>ＪＲ</v>
      </c>
      <c r="D6" s="706" t="str">
        <f>'要因'!C6</f>
        <v>東海道本線</v>
      </c>
      <c r="E6" s="706" t="str">
        <f>'要因'!D6</f>
        <v>岐阜駅</v>
      </c>
      <c r="F6" s="706" t="str">
        <f>IF('要因'!F6=0," ",'要因'!E6&amp;"方")</f>
        <v>南東方</v>
      </c>
      <c r="G6" s="707" t="str">
        <f>IF('要因'!F6&lt;1600,'要因'!F6,'要因'!F6/1000&amp;"km")</f>
        <v>1.6km</v>
      </c>
    </row>
    <row r="7" spans="1:7" ht="24" customHeight="1">
      <c r="A7" s="1068"/>
      <c r="B7" s="1069"/>
      <c r="C7" s="705" t="str">
        <f>'要因'!B7</f>
        <v>市バス</v>
      </c>
      <c r="D7" s="706" t="s">
        <v>989</v>
      </c>
      <c r="E7" s="706" t="str">
        <f>'要因'!D7</f>
        <v>地裁前停</v>
      </c>
      <c r="F7" s="706" t="str">
        <f>IF('要因'!F7=0,"",'要因'!E7&amp;"方")</f>
        <v>北東方</v>
      </c>
      <c r="G7" s="707">
        <f>IF('要因'!F7&lt;1600,'要因'!F7,'要因'!F7/1000&amp;"km")</f>
        <v>200</v>
      </c>
    </row>
    <row r="8" spans="1:7" ht="24" customHeight="1">
      <c r="A8" s="1070" t="s">
        <v>541</v>
      </c>
      <c r="B8" s="1071"/>
      <c r="C8" s="1026">
        <f>'要因'!B8</f>
        <v>0</v>
      </c>
      <c r="D8" s="1027"/>
      <c r="E8" s="1027"/>
      <c r="F8" s="1027"/>
      <c r="G8" s="1028"/>
    </row>
    <row r="9" spans="1:7" ht="24" customHeight="1">
      <c r="A9" s="1072"/>
      <c r="B9" s="1073"/>
      <c r="C9" s="1029"/>
      <c r="D9" s="1030"/>
      <c r="E9" s="1030"/>
      <c r="F9" s="1030"/>
      <c r="G9" s="1031"/>
    </row>
    <row r="10" spans="1:7" ht="24" customHeight="1">
      <c r="A10" s="1078"/>
      <c r="B10" s="1079"/>
      <c r="C10" s="1032"/>
      <c r="D10" s="1033"/>
      <c r="E10" s="1033"/>
      <c r="F10" s="1033"/>
      <c r="G10" s="1034"/>
    </row>
    <row r="11" spans="1:7" ht="24" customHeight="1">
      <c r="A11" s="1070" t="s">
        <v>542</v>
      </c>
      <c r="B11" s="1071"/>
      <c r="C11" s="1050" t="s">
        <v>543</v>
      </c>
      <c r="D11" s="1051"/>
      <c r="E11" s="1055" t="str">
        <f>VLOOKUP('要因'!B9,都計区分のコード表,3)</f>
        <v>市街化区域</v>
      </c>
      <c r="F11" s="1056"/>
      <c r="G11" s="1057"/>
    </row>
    <row r="12" spans="1:7" ht="24" customHeight="1">
      <c r="A12" s="1072"/>
      <c r="B12" s="1073"/>
      <c r="C12" s="1050" t="s">
        <v>664</v>
      </c>
      <c r="D12" s="1051"/>
      <c r="E12" s="1055" t="str">
        <f>VLOOKUP('要因'!B10,用途地域のコード表,3)</f>
        <v>第一種低層住居専用地域</v>
      </c>
      <c r="F12" s="1056"/>
      <c r="G12" s="1057"/>
    </row>
    <row r="13" spans="1:7" ht="24" customHeight="1">
      <c r="A13" s="1072"/>
      <c r="B13" s="1073"/>
      <c r="C13" s="1050" t="s">
        <v>172</v>
      </c>
      <c r="D13" s="1051"/>
      <c r="E13" s="1052">
        <f>'要因'!B11</f>
        <v>60</v>
      </c>
      <c r="F13" s="1053"/>
      <c r="G13" s="1054"/>
    </row>
    <row r="14" spans="1:7" ht="24" customHeight="1">
      <c r="A14" s="1072"/>
      <c r="B14" s="1073"/>
      <c r="C14" s="1050" t="s">
        <v>173</v>
      </c>
      <c r="D14" s="1051"/>
      <c r="E14" s="1052">
        <f>'要因'!B12</f>
        <v>200</v>
      </c>
      <c r="F14" s="1053"/>
      <c r="G14" s="1054"/>
    </row>
    <row r="15" spans="1:7" ht="24" customHeight="1">
      <c r="A15" s="1066" t="s">
        <v>310</v>
      </c>
      <c r="B15" s="1067"/>
      <c r="C15" s="1050" t="s">
        <v>665</v>
      </c>
      <c r="D15" s="1051"/>
      <c r="E15" s="1055" t="str">
        <f>'要因'!B13</f>
        <v>準防火地域</v>
      </c>
      <c r="F15" s="1056"/>
      <c r="G15" s="1057"/>
    </row>
    <row r="16" spans="1:7" ht="24" customHeight="1">
      <c r="A16" s="1068"/>
      <c r="B16" s="1069"/>
      <c r="C16" s="1050" t="s">
        <v>666</v>
      </c>
      <c r="D16" s="1051"/>
      <c r="E16" s="1055" t="str">
        <f>'要因'!B14</f>
        <v>特になし</v>
      </c>
      <c r="F16" s="1056"/>
      <c r="G16" s="1057"/>
    </row>
    <row r="17" spans="1:7" ht="24" customHeight="1">
      <c r="A17" s="1046" t="s">
        <v>375</v>
      </c>
      <c r="B17" s="1047"/>
      <c r="C17" s="1037" t="str">
        <f>'要因'!B26</f>
        <v>長方形地、標準的規模である。</v>
      </c>
      <c r="D17" s="1038"/>
      <c r="E17" s="1038"/>
      <c r="F17" s="1038"/>
      <c r="G17" s="1039"/>
    </row>
    <row r="18" spans="1:7" ht="24" customHeight="1">
      <c r="A18" s="1064"/>
      <c r="B18" s="1065"/>
      <c r="C18" s="1040"/>
      <c r="D18" s="1041"/>
      <c r="E18" s="1041"/>
      <c r="F18" s="1041"/>
      <c r="G18" s="1042"/>
    </row>
    <row r="19" spans="1:7" ht="24" customHeight="1">
      <c r="A19" s="1035" t="s">
        <v>376</v>
      </c>
      <c r="B19" s="1036"/>
      <c r="C19" s="1043"/>
      <c r="D19" s="1044"/>
      <c r="E19" s="1044"/>
      <c r="F19" s="1044"/>
      <c r="G19" s="1045"/>
    </row>
    <row r="20" spans="1:7" ht="24" customHeight="1">
      <c r="A20" s="1046" t="s">
        <v>841</v>
      </c>
      <c r="B20" s="1047"/>
      <c r="C20" s="1037" t="str">
        <f>'要因'!B27</f>
        <v>北側，幅員６ｍ市道に接面する。</v>
      </c>
      <c r="D20" s="1038"/>
      <c r="E20" s="1038"/>
      <c r="F20" s="1038"/>
      <c r="G20" s="1039"/>
    </row>
    <row r="21" spans="1:7" ht="24" customHeight="1">
      <c r="A21" s="1048"/>
      <c r="B21" s="1049"/>
      <c r="C21" s="1043"/>
      <c r="D21" s="1044"/>
      <c r="E21" s="1044"/>
      <c r="F21" s="1044"/>
      <c r="G21" s="1045"/>
    </row>
    <row r="22" spans="1:7" ht="24" customHeight="1">
      <c r="A22" s="1092" t="s">
        <v>990</v>
      </c>
      <c r="B22" s="1093"/>
      <c r="C22" s="1037" t="str">
        <f>'要因'!B28</f>
        <v>目的物件（２）の敷地である。</v>
      </c>
      <c r="D22" s="1038"/>
      <c r="E22" s="1038"/>
      <c r="F22" s="1038"/>
      <c r="G22" s="1039"/>
    </row>
    <row r="23" spans="1:7" ht="24" customHeight="1">
      <c r="A23" s="1094" t="s">
        <v>260</v>
      </c>
      <c r="B23" s="1095"/>
      <c r="C23" s="1040"/>
      <c r="D23" s="1041"/>
      <c r="E23" s="1041"/>
      <c r="F23" s="1041"/>
      <c r="G23" s="1042"/>
    </row>
    <row r="24" spans="1:7" ht="24" customHeight="1">
      <c r="A24" s="1046" t="s">
        <v>845</v>
      </c>
      <c r="B24" s="1100"/>
      <c r="C24" s="1085" t="s">
        <v>601</v>
      </c>
      <c r="D24" s="1085"/>
      <c r="E24" s="1083" t="str">
        <f>'要因'!B29</f>
        <v>供給区域</v>
      </c>
      <c r="F24" s="1083"/>
      <c r="G24" s="1084"/>
    </row>
    <row r="25" spans="1:7" ht="24" customHeight="1">
      <c r="A25" s="1064"/>
      <c r="B25" s="1101"/>
      <c r="C25" s="1085" t="s">
        <v>484</v>
      </c>
      <c r="D25" s="1085"/>
      <c r="E25" s="1083" t="str">
        <f>'要因'!B30</f>
        <v>未整備</v>
      </c>
      <c r="F25" s="1083"/>
      <c r="G25" s="1084"/>
    </row>
    <row r="26" spans="1:7" ht="24" customHeight="1">
      <c r="A26" s="1048"/>
      <c r="B26" s="1102"/>
      <c r="C26" s="1085" t="s">
        <v>485</v>
      </c>
      <c r="D26" s="1085"/>
      <c r="E26" s="1083" t="str">
        <f>'要因'!B31</f>
        <v>処理区域</v>
      </c>
      <c r="F26" s="1083"/>
      <c r="G26" s="1084"/>
    </row>
    <row r="27" spans="1:7" ht="24" customHeight="1">
      <c r="A27" s="1096" t="s">
        <v>200</v>
      </c>
      <c r="B27" s="1097"/>
      <c r="C27" s="1037" t="str">
        <f>'要因'!B32</f>
        <v>土壌汚染の蓋然性が認められる土地利用の形跡はない。</v>
      </c>
      <c r="D27" s="1038"/>
      <c r="E27" s="1038"/>
      <c r="F27" s="1038"/>
      <c r="G27" s="1039"/>
    </row>
    <row r="28" spans="1:7" ht="24" customHeight="1">
      <c r="A28" s="1098"/>
      <c r="B28" s="1099"/>
      <c r="C28" s="1043"/>
      <c r="D28" s="1044"/>
      <c r="E28" s="1044"/>
      <c r="F28" s="1044"/>
      <c r="G28" s="1045"/>
    </row>
    <row r="29" spans="1:7" ht="24" customHeight="1">
      <c r="A29" s="1086" t="s">
        <v>667</v>
      </c>
      <c r="B29" s="1087"/>
      <c r="C29" s="1026" t="str">
        <f>'要因'!B33</f>
        <v>特記する事項はない。</v>
      </c>
      <c r="D29" s="1027"/>
      <c r="E29" s="1027"/>
      <c r="F29" s="1027"/>
      <c r="G29" s="1028"/>
    </row>
    <row r="30" spans="1:7" ht="24" customHeight="1">
      <c r="A30" s="1088"/>
      <c r="B30" s="1089"/>
      <c r="C30" s="1029"/>
      <c r="D30" s="1030"/>
      <c r="E30" s="1030"/>
      <c r="F30" s="1030"/>
      <c r="G30" s="1031"/>
    </row>
    <row r="31" spans="1:7" ht="24" customHeight="1">
      <c r="A31" s="1088"/>
      <c r="B31" s="1089"/>
      <c r="C31" s="1029"/>
      <c r="D31" s="1030"/>
      <c r="E31" s="1030"/>
      <c r="F31" s="1030"/>
      <c r="G31" s="1031"/>
    </row>
    <row r="32" spans="1:7" ht="24" customHeight="1">
      <c r="A32" s="1090"/>
      <c r="B32" s="1091"/>
      <c r="C32" s="1080"/>
      <c r="D32" s="1081"/>
      <c r="E32" s="1081"/>
      <c r="F32" s="1081"/>
      <c r="G32" s="1082"/>
    </row>
  </sheetData>
  <sheetProtection/>
  <mergeCells count="38">
    <mergeCell ref="A29:B32"/>
    <mergeCell ref="E15:G15"/>
    <mergeCell ref="A22:B22"/>
    <mergeCell ref="A23:B23"/>
    <mergeCell ref="C22:G23"/>
    <mergeCell ref="A27:B28"/>
    <mergeCell ref="C27:G28"/>
    <mergeCell ref="C26:D26"/>
    <mergeCell ref="A24:B26"/>
    <mergeCell ref="C24:D24"/>
    <mergeCell ref="C29:G32"/>
    <mergeCell ref="C14:D14"/>
    <mergeCell ref="E26:G26"/>
    <mergeCell ref="E25:G25"/>
    <mergeCell ref="E24:G24"/>
    <mergeCell ref="C15:D15"/>
    <mergeCell ref="C16:D16"/>
    <mergeCell ref="C20:G21"/>
    <mergeCell ref="C25:D25"/>
    <mergeCell ref="C3:G4"/>
    <mergeCell ref="A17:B18"/>
    <mergeCell ref="A15:B16"/>
    <mergeCell ref="A11:B14"/>
    <mergeCell ref="A3:B5"/>
    <mergeCell ref="E11:G11"/>
    <mergeCell ref="E12:G12"/>
    <mergeCell ref="A6:B7"/>
    <mergeCell ref="C11:D11"/>
    <mergeCell ref="A8:B10"/>
    <mergeCell ref="C8:G10"/>
    <mergeCell ref="A19:B19"/>
    <mergeCell ref="C17:G19"/>
    <mergeCell ref="A20:B21"/>
    <mergeCell ref="C12:D12"/>
    <mergeCell ref="C13:D13"/>
    <mergeCell ref="E14:G14"/>
    <mergeCell ref="E13:G13"/>
    <mergeCell ref="E16:G16"/>
  </mergeCells>
  <printOptions/>
  <pageMargins left="1.12" right="0.31496062992125984" top="0.7874015748031497" bottom="0.58" header="0.4330708661417323" footer="0.28"/>
  <pageSetup orientation="portrait" paperSize="9" r:id="rId1"/>
  <headerFooter alignWithMargins="0">
    <oddFooter>&amp;L&amp;C&amp;R&amp;"Osaka,斜体"&amp;P</oddFooter>
  </headerFooter>
</worksheet>
</file>

<file path=xl/worksheets/sheet8.xml><?xml version="1.0" encoding="utf-8"?>
<worksheet xmlns="http://schemas.openxmlformats.org/spreadsheetml/2006/main" xmlns:r="http://schemas.openxmlformats.org/officeDocument/2006/relationships">
  <dimension ref="A1:L27"/>
  <sheetViews>
    <sheetView showZeros="0" zoomScale="75" zoomScaleNormal="75" workbookViewId="0" topLeftCell="A1">
      <selection activeCell="C1" sqref="C1"/>
    </sheetView>
  </sheetViews>
  <sheetFormatPr defaultColWidth="10.59765625" defaultRowHeight="15"/>
  <cols>
    <col min="1" max="2" width="14.69921875" style="488" customWidth="1"/>
    <col min="3" max="12" width="62.69921875" style="488" customWidth="1"/>
    <col min="13" max="15" width="10.59765625" style="488" customWidth="1"/>
    <col min="16" max="16384" width="11" style="488" customWidth="1"/>
  </cols>
  <sheetData>
    <row r="1" spans="1:6" ht="33.75" customHeight="1">
      <c r="A1" s="748" t="s">
        <v>612</v>
      </c>
      <c r="D1" s="685"/>
      <c r="E1" s="685"/>
      <c r="F1" s="685"/>
    </row>
    <row r="2" spans="1:12" ht="33.75" customHeight="1">
      <c r="A2" s="1105" t="s">
        <v>991</v>
      </c>
      <c r="B2" s="776" t="s">
        <v>992</v>
      </c>
      <c r="C2" s="686" t="str">
        <f>IF('要因'!B39=0," ",'要因'!B39)</f>
        <v>2</v>
      </c>
      <c r="D2" s="686" t="str">
        <f>IF('要因'!C39=0," ",'要因'!C39)</f>
        <v> </v>
      </c>
      <c r="E2" s="686" t="str">
        <f>IF('要因'!D39=0," ",'要因'!D39)</f>
        <v> </v>
      </c>
      <c r="F2" s="686" t="str">
        <f>IF('要因'!E39=0," ",'要因'!E39)</f>
        <v> </v>
      </c>
      <c r="G2" s="686" t="str">
        <f>IF('要因'!F39=0," ",'要因'!F39)</f>
        <v> </v>
      </c>
      <c r="H2" s="686" t="str">
        <f>IF('要因'!G39=0," ",'要因'!G39)</f>
        <v> </v>
      </c>
      <c r="I2" s="686" t="str">
        <f>IF('要因'!H39=0," ",'要因'!H39)</f>
        <v> </v>
      </c>
      <c r="J2" s="686" t="str">
        <f>IF('要因'!I39=0," ",'要因'!I39)</f>
        <v> </v>
      </c>
      <c r="K2" s="686" t="str">
        <f>IF('要因'!J39=0," ",'要因'!J39)</f>
        <v> </v>
      </c>
      <c r="L2" s="686" t="str">
        <f>IF('要因'!K39=0," ",'要因'!K39)</f>
        <v> </v>
      </c>
    </row>
    <row r="3" spans="1:12" ht="33.75" customHeight="1">
      <c r="A3" s="1106"/>
      <c r="B3" s="777" t="s">
        <v>220</v>
      </c>
      <c r="C3" s="687" t="str">
        <f>'要因'!B40</f>
        <v>主建物</v>
      </c>
      <c r="D3" s="687">
        <f>'要因'!C40</f>
        <v>0</v>
      </c>
      <c r="E3" s="687">
        <f>'要因'!D40</f>
        <v>0</v>
      </c>
      <c r="F3" s="687">
        <f>'要因'!E40</f>
        <v>0</v>
      </c>
      <c r="G3" s="687">
        <f>'要因'!F40</f>
        <v>0</v>
      </c>
      <c r="H3" s="687">
        <f>'要因'!G40</f>
        <v>0</v>
      </c>
      <c r="I3" s="687">
        <f>'要因'!H40</f>
        <v>0</v>
      </c>
      <c r="J3" s="687">
        <f>'要因'!I40</f>
        <v>0</v>
      </c>
      <c r="K3" s="687">
        <f>'要因'!J40</f>
        <v>0</v>
      </c>
      <c r="L3" s="687">
        <f>'要因'!K40</f>
        <v>0</v>
      </c>
    </row>
    <row r="4" spans="1:12" ht="33.75" customHeight="1">
      <c r="A4" s="1107" t="s">
        <v>455</v>
      </c>
      <c r="B4" s="778" t="s">
        <v>471</v>
      </c>
      <c r="C4" s="688">
        <f>'要因'!B44</f>
        <v>31047</v>
      </c>
      <c r="D4" s="688">
        <f>'要因'!C44</f>
        <v>0</v>
      </c>
      <c r="E4" s="688">
        <f>'要因'!D44</f>
        <v>0</v>
      </c>
      <c r="F4" s="688">
        <f>'要因'!E44</f>
        <v>0</v>
      </c>
      <c r="G4" s="688">
        <f>'要因'!F44</f>
        <v>0</v>
      </c>
      <c r="H4" s="688">
        <f>'要因'!G44</f>
        <v>0</v>
      </c>
      <c r="I4" s="688">
        <f>'要因'!H44</f>
        <v>0</v>
      </c>
      <c r="J4" s="688">
        <f>'要因'!I44</f>
        <v>0</v>
      </c>
      <c r="K4" s="688">
        <f>'要因'!J44</f>
        <v>0</v>
      </c>
      <c r="L4" s="688">
        <f>'要因'!K44</f>
        <v>0</v>
      </c>
    </row>
    <row r="5" spans="1:12" ht="33.75" customHeight="1">
      <c r="A5" s="1108"/>
      <c r="B5" s="778" t="s">
        <v>478</v>
      </c>
      <c r="C5" s="689">
        <f>'要因'!B47</f>
        <v>27.4</v>
      </c>
      <c r="D5" s="689">
        <f>'要因'!C47</f>
        <v>102.4</v>
      </c>
      <c r="E5" s="689">
        <f>'要因'!D47</f>
        <v>102.4</v>
      </c>
      <c r="F5" s="689">
        <f>'要因'!E47</f>
        <v>102.4</v>
      </c>
      <c r="G5" s="689">
        <f>'要因'!F47</f>
        <v>102.4</v>
      </c>
      <c r="H5" s="689">
        <f>'要因'!G47</f>
        <v>102.4</v>
      </c>
      <c r="I5" s="689">
        <f>'要因'!H47</f>
        <v>102.4</v>
      </c>
      <c r="J5" s="689">
        <f>'要因'!I47</f>
        <v>102.4</v>
      </c>
      <c r="K5" s="689">
        <f>'要因'!J47</f>
        <v>102.4</v>
      </c>
      <c r="L5" s="689">
        <f>'要因'!K47</f>
        <v>102.4</v>
      </c>
    </row>
    <row r="6" spans="1:12" ht="33.75" customHeight="1">
      <c r="A6" s="1108"/>
      <c r="B6" s="778" t="s">
        <v>411</v>
      </c>
      <c r="C6" s="689">
        <f>'要因'!B46</f>
        <v>17.4</v>
      </c>
      <c r="D6" s="689">
        <f>'要因'!C46</f>
        <v>102.4</v>
      </c>
      <c r="E6" s="689">
        <f>'要因'!D46</f>
        <v>102.4</v>
      </c>
      <c r="F6" s="689">
        <f>'要因'!E46</f>
        <v>102.4</v>
      </c>
      <c r="G6" s="689">
        <f>'要因'!F46</f>
        <v>102.4</v>
      </c>
      <c r="H6" s="689">
        <f>'要因'!G46</f>
        <v>102.4</v>
      </c>
      <c r="I6" s="689">
        <f>'要因'!H46</f>
        <v>102.4</v>
      </c>
      <c r="J6" s="689">
        <f>'要因'!I46</f>
        <v>102.4</v>
      </c>
      <c r="K6" s="689">
        <f>'要因'!J46</f>
        <v>102.4</v>
      </c>
      <c r="L6" s="689">
        <f>'要因'!K46</f>
        <v>102.4</v>
      </c>
    </row>
    <row r="7" spans="1:12" ht="33.75" customHeight="1">
      <c r="A7" s="1109"/>
      <c r="B7" s="778" t="s">
        <v>161</v>
      </c>
      <c r="C7" s="690">
        <f>'要因'!B48</f>
        <v>10</v>
      </c>
      <c r="D7" s="690">
        <f>'要因'!C48</f>
        <v>0</v>
      </c>
      <c r="E7" s="690">
        <f>'要因'!D48</f>
        <v>0</v>
      </c>
      <c r="F7" s="690">
        <f>'要因'!E48</f>
        <v>0</v>
      </c>
      <c r="G7" s="690">
        <f>'要因'!F48</f>
        <v>0</v>
      </c>
      <c r="H7" s="690">
        <f>'要因'!G48</f>
        <v>0</v>
      </c>
      <c r="I7" s="690">
        <f>'要因'!H48</f>
        <v>0</v>
      </c>
      <c r="J7" s="690">
        <f>'要因'!I48</f>
        <v>0</v>
      </c>
      <c r="K7" s="690">
        <f>'要因'!J48</f>
        <v>0</v>
      </c>
      <c r="L7" s="690">
        <f>'要因'!K48</f>
        <v>0</v>
      </c>
    </row>
    <row r="8" spans="1:12" ht="33.75" customHeight="1">
      <c r="A8" s="1112" t="s">
        <v>993</v>
      </c>
      <c r="B8" s="779" t="s">
        <v>892</v>
      </c>
      <c r="C8" s="690" t="str">
        <f>'要因'!B49</f>
        <v>木造</v>
      </c>
      <c r="D8" s="690">
        <f>'要因'!C49</f>
        <v>0</v>
      </c>
      <c r="E8" s="690">
        <f>'要因'!D49</f>
        <v>0</v>
      </c>
      <c r="F8" s="690">
        <f>'要因'!E49</f>
        <v>0</v>
      </c>
      <c r="G8" s="690">
        <f>'要因'!F49</f>
        <v>0</v>
      </c>
      <c r="H8" s="690">
        <f>'要因'!G49</f>
        <v>0</v>
      </c>
      <c r="I8" s="690">
        <f>'要因'!H49</f>
        <v>0</v>
      </c>
      <c r="J8" s="690">
        <f>'要因'!I49</f>
        <v>0</v>
      </c>
      <c r="K8" s="690">
        <f>'要因'!J49</f>
        <v>0</v>
      </c>
      <c r="L8" s="690">
        <f>'要因'!K49</f>
        <v>0</v>
      </c>
    </row>
    <row r="9" spans="1:12" ht="33.75" customHeight="1">
      <c r="A9" s="1113"/>
      <c r="B9" s="779" t="s">
        <v>994</v>
      </c>
      <c r="C9" s="691" t="str">
        <f>'要因'!B51</f>
        <v>瓦　葺</v>
      </c>
      <c r="D9" s="691">
        <f>'要因'!C51</f>
        <v>0</v>
      </c>
      <c r="E9" s="691">
        <f>'要因'!D51</f>
        <v>0</v>
      </c>
      <c r="F9" s="691">
        <f>'要因'!E51</f>
        <v>0</v>
      </c>
      <c r="G9" s="691">
        <f>'要因'!F51</f>
        <v>0</v>
      </c>
      <c r="H9" s="691">
        <f>'要因'!G51</f>
        <v>0</v>
      </c>
      <c r="I9" s="691">
        <f>'要因'!H51</f>
        <v>0</v>
      </c>
      <c r="J9" s="691">
        <f>'要因'!I51</f>
        <v>0</v>
      </c>
      <c r="K9" s="691">
        <f>'要因'!J51</f>
        <v>0</v>
      </c>
      <c r="L9" s="691">
        <f>'要因'!K51</f>
        <v>0</v>
      </c>
    </row>
    <row r="10" spans="1:12" ht="33.75" customHeight="1">
      <c r="A10" s="1113"/>
      <c r="B10" s="779" t="s">
        <v>995</v>
      </c>
      <c r="C10" s="691" t="str">
        <f>'要因'!B52</f>
        <v>サイデｲング・カラー鋼板等</v>
      </c>
      <c r="D10" s="691" t="str">
        <f>'要因'!C52</f>
        <v>　</v>
      </c>
      <c r="E10" s="691">
        <f>'要因'!D52</f>
        <v>0</v>
      </c>
      <c r="F10" s="691">
        <f>'要因'!E52</f>
        <v>0</v>
      </c>
      <c r="G10" s="691">
        <f>'要因'!F52</f>
        <v>0</v>
      </c>
      <c r="H10" s="691">
        <f>'要因'!G52</f>
        <v>0</v>
      </c>
      <c r="I10" s="691">
        <f>'要因'!H52</f>
        <v>0</v>
      </c>
      <c r="J10" s="691">
        <f>'要因'!I52</f>
        <v>0</v>
      </c>
      <c r="K10" s="691">
        <f>'要因'!J52</f>
        <v>0</v>
      </c>
      <c r="L10" s="691">
        <f>'要因'!K52</f>
        <v>0</v>
      </c>
    </row>
    <row r="11" spans="1:12" ht="33.75" customHeight="1">
      <c r="A11" s="1113"/>
      <c r="B11" s="779" t="s">
        <v>996</v>
      </c>
      <c r="C11" s="691" t="str">
        <f>'要因'!B53</f>
        <v>繊維壁・クロス等</v>
      </c>
      <c r="D11" s="691" t="str">
        <f>'要因'!C53</f>
        <v>　</v>
      </c>
      <c r="E11" s="691">
        <f>'要因'!D53</f>
        <v>0</v>
      </c>
      <c r="F11" s="691">
        <f>'要因'!E53</f>
        <v>0</v>
      </c>
      <c r="G11" s="691">
        <f>'要因'!F53</f>
        <v>0</v>
      </c>
      <c r="H11" s="691">
        <f>'要因'!G53</f>
        <v>0</v>
      </c>
      <c r="I11" s="691">
        <f>'要因'!H53</f>
        <v>0</v>
      </c>
      <c r="J11" s="691">
        <f>'要因'!I53</f>
        <v>0</v>
      </c>
      <c r="K11" s="691">
        <f>'要因'!J53</f>
        <v>0</v>
      </c>
      <c r="L11" s="691">
        <f>'要因'!K53</f>
        <v>0</v>
      </c>
    </row>
    <row r="12" spans="1:12" ht="33.75" customHeight="1">
      <c r="A12" s="1113"/>
      <c r="B12" s="779" t="s">
        <v>932</v>
      </c>
      <c r="C12" s="691" t="str">
        <f>'要因'!B54</f>
        <v>Ｐ合板・目透し等</v>
      </c>
      <c r="D12" s="691" t="str">
        <f>'要因'!C54</f>
        <v>　</v>
      </c>
      <c r="E12" s="691">
        <f>'要因'!D54</f>
        <v>0</v>
      </c>
      <c r="F12" s="691">
        <f>'要因'!E54</f>
        <v>0</v>
      </c>
      <c r="G12" s="691">
        <f>'要因'!F54</f>
        <v>0</v>
      </c>
      <c r="H12" s="691">
        <f>'要因'!G54</f>
        <v>0</v>
      </c>
      <c r="I12" s="691">
        <f>'要因'!H54</f>
        <v>0</v>
      </c>
      <c r="J12" s="691">
        <f>'要因'!I54</f>
        <v>0</v>
      </c>
      <c r="K12" s="691">
        <f>'要因'!J54</f>
        <v>0</v>
      </c>
      <c r="L12" s="691">
        <f>'要因'!K54</f>
        <v>0</v>
      </c>
    </row>
    <row r="13" spans="1:12" ht="33.75" customHeight="1">
      <c r="A13" s="1113"/>
      <c r="B13" s="779" t="s">
        <v>668</v>
      </c>
      <c r="C13" s="691" t="str">
        <f>'要因'!B55</f>
        <v>フローリング・畳等</v>
      </c>
      <c r="D13" s="691" t="str">
        <f>'要因'!C55</f>
        <v>　</v>
      </c>
      <c r="E13" s="691">
        <f>'要因'!D55</f>
        <v>0</v>
      </c>
      <c r="F13" s="691">
        <f>'要因'!E55</f>
        <v>0</v>
      </c>
      <c r="G13" s="691">
        <f>'要因'!F55</f>
        <v>0</v>
      </c>
      <c r="H13" s="691">
        <f>'要因'!G55</f>
        <v>0</v>
      </c>
      <c r="I13" s="691">
        <f>'要因'!H55</f>
        <v>0</v>
      </c>
      <c r="J13" s="691">
        <f>'要因'!I55</f>
        <v>0</v>
      </c>
      <c r="K13" s="691">
        <f>'要因'!J55</f>
        <v>0</v>
      </c>
      <c r="L13" s="691">
        <f>'要因'!K55</f>
        <v>0</v>
      </c>
    </row>
    <row r="14" spans="1:12" ht="33.75" customHeight="1">
      <c r="A14" s="1113"/>
      <c r="B14" s="779" t="s">
        <v>8</v>
      </c>
      <c r="C14" s="691" t="str">
        <f>'要因'!B56</f>
        <v>電気・給排水・衛生等</v>
      </c>
      <c r="D14" s="691" t="str">
        <f>'要因'!C56</f>
        <v>　</v>
      </c>
      <c r="E14" s="691">
        <f>'要因'!D56</f>
        <v>0</v>
      </c>
      <c r="F14" s="691">
        <f>'要因'!E56</f>
        <v>0</v>
      </c>
      <c r="G14" s="691">
        <f>'要因'!F56</f>
        <v>0</v>
      </c>
      <c r="H14" s="691">
        <f>'要因'!G56</f>
        <v>0</v>
      </c>
      <c r="I14" s="691">
        <f>'要因'!H56</f>
        <v>0</v>
      </c>
      <c r="J14" s="691">
        <f>'要因'!I56</f>
        <v>0</v>
      </c>
      <c r="K14" s="691">
        <f>'要因'!J56</f>
        <v>0</v>
      </c>
      <c r="L14" s="691">
        <f>'要因'!K56</f>
        <v>0</v>
      </c>
    </row>
    <row r="15" spans="1:12" ht="33.75" customHeight="1">
      <c r="A15" s="1114"/>
      <c r="B15" s="779" t="s">
        <v>525</v>
      </c>
      <c r="C15" s="691" t="str">
        <f>'要因'!B57</f>
        <v>特になし</v>
      </c>
      <c r="D15" s="691">
        <f>'要因'!C57</f>
        <v>0</v>
      </c>
      <c r="E15" s="691">
        <f>'要因'!D57</f>
        <v>0</v>
      </c>
      <c r="F15" s="691">
        <f>'要因'!E57</f>
        <v>0</v>
      </c>
      <c r="G15" s="691">
        <f>'要因'!F57</f>
        <v>0</v>
      </c>
      <c r="H15" s="691">
        <f>'要因'!G57</f>
        <v>0</v>
      </c>
      <c r="I15" s="691">
        <f>'要因'!H57</f>
        <v>0</v>
      </c>
      <c r="J15" s="691">
        <f>'要因'!I57</f>
        <v>0</v>
      </c>
      <c r="K15" s="691">
        <f>'要因'!J57</f>
        <v>0</v>
      </c>
      <c r="L15" s="691">
        <f>'要因'!K57</f>
        <v>0</v>
      </c>
    </row>
    <row r="16" spans="1:12" ht="33.75" customHeight="1">
      <c r="A16" s="1112" t="s">
        <v>997</v>
      </c>
      <c r="B16" s="779" t="s">
        <v>73</v>
      </c>
      <c r="C16" s="692">
        <f>'要因'!B42</f>
        <v>100</v>
      </c>
      <c r="D16" s="692">
        <f>'要因'!C42</f>
        <v>0</v>
      </c>
      <c r="E16" s="692">
        <f>'要因'!D42</f>
        <v>0</v>
      </c>
      <c r="F16" s="692">
        <f>'要因'!E42</f>
        <v>0</v>
      </c>
      <c r="G16" s="692">
        <f>'要因'!F42</f>
        <v>0</v>
      </c>
      <c r="H16" s="692">
        <f>'要因'!G42</f>
        <v>0</v>
      </c>
      <c r="I16" s="692">
        <f>'要因'!H42</f>
        <v>0</v>
      </c>
      <c r="J16" s="692">
        <f>'要因'!I42</f>
        <v>0</v>
      </c>
      <c r="K16" s="692">
        <f>'要因'!J42</f>
        <v>0</v>
      </c>
      <c r="L16" s="692">
        <f>'要因'!K42</f>
        <v>0</v>
      </c>
    </row>
    <row r="17" spans="1:12" ht="33.75" customHeight="1">
      <c r="A17" s="1114"/>
      <c r="B17" s="779" t="s">
        <v>407</v>
      </c>
      <c r="C17" s="693" t="str">
        <f>'要因'!B43</f>
        <v>増築はない</v>
      </c>
      <c r="D17" s="693" t="str">
        <f>'要因'!C43</f>
        <v>増築はない</v>
      </c>
      <c r="E17" s="693" t="str">
        <f>'要因'!D43</f>
        <v>増築はない</v>
      </c>
      <c r="F17" s="693" t="str">
        <f>'要因'!E43</f>
        <v>増築はない</v>
      </c>
      <c r="G17" s="693" t="str">
        <f>'要因'!F43</f>
        <v>増築はない</v>
      </c>
      <c r="H17" s="693" t="str">
        <f>'要因'!G43</f>
        <v>増築はない</v>
      </c>
      <c r="I17" s="693" t="str">
        <f>'要因'!H43</f>
        <v>増築はない</v>
      </c>
      <c r="J17" s="693" t="str">
        <f>'要因'!I43</f>
        <v>増築はない</v>
      </c>
      <c r="K17" s="693" t="str">
        <f>'要因'!J43</f>
        <v>増築はない</v>
      </c>
      <c r="L17" s="693" t="str">
        <f>'要因'!K43</f>
        <v>増築はない</v>
      </c>
    </row>
    <row r="18" spans="1:12" ht="33.75" customHeight="1">
      <c r="A18" s="1112" t="s">
        <v>998</v>
      </c>
      <c r="B18" s="779" t="s">
        <v>895</v>
      </c>
      <c r="C18" s="693" t="str">
        <f>'要因'!B50</f>
        <v>２階建</v>
      </c>
      <c r="D18" s="693">
        <f>'要因'!C50</f>
        <v>0</v>
      </c>
      <c r="E18" s="693">
        <f>'要因'!D50</f>
        <v>0</v>
      </c>
      <c r="F18" s="693">
        <f>'要因'!E50</f>
        <v>0</v>
      </c>
      <c r="G18" s="693">
        <f>'要因'!F50</f>
        <v>0</v>
      </c>
      <c r="H18" s="693">
        <f>'要因'!G50</f>
        <v>0</v>
      </c>
      <c r="I18" s="693">
        <f>'要因'!H50</f>
        <v>0</v>
      </c>
      <c r="J18" s="693">
        <f>'要因'!I50</f>
        <v>0</v>
      </c>
      <c r="K18" s="693">
        <f>'要因'!J50</f>
        <v>0</v>
      </c>
      <c r="L18" s="693">
        <f>'要因'!K50</f>
        <v>0</v>
      </c>
    </row>
    <row r="19" spans="1:12" ht="33.75" customHeight="1">
      <c r="A19" s="1113"/>
      <c r="B19" s="779" t="s">
        <v>281</v>
      </c>
      <c r="C19" s="693" t="str">
        <f>'要因'!B58</f>
        <v>店舗併用住宅</v>
      </c>
      <c r="D19" s="693">
        <f>'要因'!C58</f>
        <v>0</v>
      </c>
      <c r="E19" s="693">
        <f>'要因'!D58</f>
        <v>0</v>
      </c>
      <c r="F19" s="693">
        <f>'要因'!E58</f>
        <v>0</v>
      </c>
      <c r="G19" s="693">
        <f>'要因'!F58</f>
        <v>0</v>
      </c>
      <c r="H19" s="693">
        <f>'要因'!G58</f>
        <v>0</v>
      </c>
      <c r="I19" s="693">
        <f>'要因'!H58</f>
        <v>0</v>
      </c>
      <c r="J19" s="693">
        <f>'要因'!I58</f>
        <v>0</v>
      </c>
      <c r="K19" s="693">
        <f>'要因'!J58</f>
        <v>0</v>
      </c>
      <c r="L19" s="693">
        <f>'要因'!K58</f>
        <v>0</v>
      </c>
    </row>
    <row r="20" spans="1:12" ht="33.75" customHeight="1">
      <c r="A20" s="1114"/>
      <c r="B20" s="779" t="s">
        <v>876</v>
      </c>
      <c r="C20" s="693" t="str">
        <f>'要因'!B59</f>
        <v>添付間取り図のとおり</v>
      </c>
      <c r="D20" s="693">
        <f>'要因'!C59</f>
        <v>0</v>
      </c>
      <c r="E20" s="693">
        <f>'要因'!D59</f>
        <v>0</v>
      </c>
      <c r="F20" s="693">
        <f>'要因'!E59</f>
        <v>0</v>
      </c>
      <c r="G20" s="693">
        <f>'要因'!F59</f>
        <v>0</v>
      </c>
      <c r="H20" s="693">
        <f>'要因'!G59</f>
        <v>0</v>
      </c>
      <c r="I20" s="693">
        <f>'要因'!H59</f>
        <v>0</v>
      </c>
      <c r="J20" s="693">
        <f>'要因'!I59</f>
        <v>0</v>
      </c>
      <c r="K20" s="693">
        <f>'要因'!J59</f>
        <v>0</v>
      </c>
      <c r="L20" s="693">
        <f>'要因'!K59</f>
        <v>0</v>
      </c>
    </row>
    <row r="21" spans="1:12" ht="33.75" customHeight="1">
      <c r="A21" s="1112" t="s">
        <v>999</v>
      </c>
      <c r="B21" s="779" t="s">
        <v>176</v>
      </c>
      <c r="C21" s="691" t="str">
        <f>'要因'!B60</f>
        <v>普　通</v>
      </c>
      <c r="D21" s="691">
        <f>'要因'!C60</f>
        <v>0</v>
      </c>
      <c r="E21" s="691">
        <f>'要因'!D60</f>
        <v>0</v>
      </c>
      <c r="F21" s="691">
        <f>'要因'!E60</f>
        <v>0</v>
      </c>
      <c r="G21" s="691">
        <f>'要因'!F60</f>
        <v>0</v>
      </c>
      <c r="H21" s="691">
        <f>'要因'!G60</f>
        <v>0</v>
      </c>
      <c r="I21" s="691">
        <f>'要因'!H60</f>
        <v>0</v>
      </c>
      <c r="J21" s="691">
        <f>'要因'!I60</f>
        <v>0</v>
      </c>
      <c r="K21" s="691">
        <f>'要因'!J60</f>
        <v>0</v>
      </c>
      <c r="L21" s="691">
        <f>'要因'!K60</f>
        <v>0</v>
      </c>
    </row>
    <row r="22" spans="1:12" ht="33.75" customHeight="1">
      <c r="A22" s="1113"/>
      <c r="B22" s="779" t="s">
        <v>178</v>
      </c>
      <c r="C22" s="691" t="str">
        <f>'要因'!B61</f>
        <v>普　通</v>
      </c>
      <c r="D22" s="691">
        <f>'要因'!C61</f>
        <v>0</v>
      </c>
      <c r="E22" s="691">
        <f>'要因'!D61</f>
        <v>0</v>
      </c>
      <c r="F22" s="691">
        <f>'要因'!E61</f>
        <v>0</v>
      </c>
      <c r="G22" s="691">
        <f>'要因'!F61</f>
        <v>0</v>
      </c>
      <c r="H22" s="691">
        <f>'要因'!G61</f>
        <v>0</v>
      </c>
      <c r="I22" s="691">
        <f>'要因'!H61</f>
        <v>0</v>
      </c>
      <c r="J22" s="691">
        <f>'要因'!I61</f>
        <v>0</v>
      </c>
      <c r="K22" s="691">
        <f>'要因'!J61</f>
        <v>0</v>
      </c>
      <c r="L22" s="691">
        <f>'要因'!K61</f>
        <v>0</v>
      </c>
    </row>
    <row r="23" spans="1:12" ht="33.75" customHeight="1">
      <c r="A23" s="1114"/>
      <c r="B23" s="779" t="s">
        <v>179</v>
      </c>
      <c r="C23" s="691" t="str">
        <f>'要因'!B62</f>
        <v>普　通</v>
      </c>
      <c r="D23" s="691">
        <f>'要因'!C62</f>
        <v>0</v>
      </c>
      <c r="E23" s="691">
        <f>'要因'!D62</f>
        <v>0</v>
      </c>
      <c r="F23" s="691">
        <f>'要因'!E62</f>
        <v>0</v>
      </c>
      <c r="G23" s="691">
        <f>'要因'!F62</f>
        <v>0</v>
      </c>
      <c r="H23" s="691">
        <f>'要因'!G62</f>
        <v>0</v>
      </c>
      <c r="I23" s="691">
        <f>'要因'!H62</f>
        <v>0</v>
      </c>
      <c r="J23" s="691">
        <f>'要因'!I62</f>
        <v>0</v>
      </c>
      <c r="K23" s="691">
        <f>'要因'!J62</f>
        <v>0</v>
      </c>
      <c r="L23" s="691">
        <f>'要因'!K62</f>
        <v>0</v>
      </c>
    </row>
    <row r="24" spans="1:12" ht="33.75" customHeight="1">
      <c r="A24" s="1110" t="s">
        <v>669</v>
      </c>
      <c r="B24" s="1111"/>
      <c r="C24" s="691" t="str">
        <f>'要因'!B63</f>
        <v>普　通</v>
      </c>
      <c r="D24" s="691">
        <f>'要因'!C63</f>
        <v>0</v>
      </c>
      <c r="E24" s="691">
        <f>'要因'!D63</f>
        <v>0</v>
      </c>
      <c r="F24" s="691">
        <f>'要因'!E63</f>
        <v>0</v>
      </c>
      <c r="G24" s="691">
        <f>'要因'!F63</f>
        <v>0</v>
      </c>
      <c r="H24" s="691">
        <f>'要因'!G63</f>
        <v>0</v>
      </c>
      <c r="I24" s="691">
        <f>'要因'!H63</f>
        <v>0</v>
      </c>
      <c r="J24" s="691">
        <f>'要因'!I63</f>
        <v>0</v>
      </c>
      <c r="K24" s="691">
        <f>'要因'!J63</f>
        <v>0</v>
      </c>
      <c r="L24" s="691">
        <f>'要因'!K63</f>
        <v>0</v>
      </c>
    </row>
    <row r="25" spans="1:12" ht="33.75" customHeight="1">
      <c r="A25" s="1110" t="s">
        <v>536</v>
      </c>
      <c r="B25" s="1111"/>
      <c r="C25" s="694" t="str">
        <f>'要因'!B64</f>
        <v>所有者が占有する</v>
      </c>
      <c r="D25" s="694" t="str">
        <f>'要因'!C64</f>
        <v>　</v>
      </c>
      <c r="E25" s="694">
        <f>'要因'!D64</f>
        <v>0</v>
      </c>
      <c r="F25" s="694">
        <f>'要因'!E64</f>
        <v>0</v>
      </c>
      <c r="G25" s="694">
        <f>'要因'!F64</f>
        <v>0</v>
      </c>
      <c r="H25" s="694">
        <f>'要因'!G64</f>
        <v>0</v>
      </c>
      <c r="I25" s="694">
        <f>'要因'!H64</f>
        <v>0</v>
      </c>
      <c r="J25" s="694">
        <f>'要因'!I64</f>
        <v>0</v>
      </c>
      <c r="K25" s="694">
        <f>'要因'!J64</f>
        <v>0</v>
      </c>
      <c r="L25" s="694">
        <f>'要因'!K64</f>
        <v>0</v>
      </c>
    </row>
    <row r="26" spans="1:12" ht="48.75" customHeight="1">
      <c r="A26" s="1103" t="s">
        <v>535</v>
      </c>
      <c r="B26" s="1103"/>
      <c r="C26" s="695" t="str">
        <f>'要因'!B65</f>
        <v>特になし</v>
      </c>
      <c r="D26" s="695">
        <f>'要因'!C65</f>
        <v>0</v>
      </c>
      <c r="E26" s="695">
        <f>'要因'!D65</f>
        <v>0</v>
      </c>
      <c r="F26" s="695">
        <f>'要因'!E65</f>
        <v>0</v>
      </c>
      <c r="G26" s="695">
        <f>'要因'!F65</f>
        <v>0</v>
      </c>
      <c r="H26" s="695">
        <f>'要因'!G65</f>
        <v>0</v>
      </c>
      <c r="I26" s="695">
        <f>'要因'!H65</f>
        <v>0</v>
      </c>
      <c r="J26" s="695">
        <f>'要因'!I65</f>
        <v>0</v>
      </c>
      <c r="K26" s="695">
        <f>'要因'!J65</f>
        <v>0</v>
      </c>
      <c r="L26" s="695">
        <f>'要因'!K65</f>
        <v>0</v>
      </c>
    </row>
    <row r="27" spans="1:12" s="489" customFormat="1" ht="31.5" customHeight="1">
      <c r="A27" s="1104"/>
      <c r="B27" s="1104"/>
      <c r="C27" s="696" t="str">
        <f>IF('要因'!B45=1,"（※建築時点は推定建築年次である）","（※建築時点は公簿記載の建築年次である）")</f>
        <v>（※建築時点は公簿記載の建築年次である）</v>
      </c>
      <c r="D27" s="696" t="str">
        <f>IF('要因'!C45=1,"（※建築時点は推定建築年次である）","（※建築時点は公簿記載の建築年次である）")</f>
        <v>（※建築時点は公簿記載の建築年次である）</v>
      </c>
      <c r="E27" s="696" t="str">
        <f>IF('要因'!D45=1,"（※建築時点は推定建築年次である）","（※建築時点は公簿記載の建築年次である）")</f>
        <v>（※建築時点は公簿記載の建築年次である）</v>
      </c>
      <c r="F27" s="696" t="str">
        <f>IF('要因'!E45=1,"（※建築時点は推定建築年次である）","（※建築時点は公簿記載の建築年次である）")</f>
        <v>（※建築時点は公簿記載の建築年次である）</v>
      </c>
      <c r="G27" s="696" t="str">
        <f>IF('要因'!F45=1,"（※建築時点は推定建築年次である）","（※建築時点は公簿記載の建築年次である）")</f>
        <v>（※建築時点は公簿記載の建築年次である）</v>
      </c>
      <c r="H27" s="696" t="str">
        <f>IF('要因'!G45=1,"（※建築時点は推定建築年次である）","（※建築時点は公簿記載の建築年次である）")</f>
        <v>（※建築時点は公簿記載の建築年次である）</v>
      </c>
      <c r="I27" s="696" t="str">
        <f>IF('要因'!H45=1,"（※建築時点は推定建築年次である）","（※建築時点は公簿記載の建築年次である）")</f>
        <v>（※建築時点は公簿記載の建築年次である）</v>
      </c>
      <c r="J27" s="696" t="str">
        <f>IF('要因'!I45=1,"（※建築時点は推定建築年次である）","（※建築時点は公簿記載の建築年次である）")</f>
        <v>（※建築時点は公簿記載の建築年次である）</v>
      </c>
      <c r="K27" s="696" t="str">
        <f>IF('要因'!J45=1,"（※建築時点は推定建築年次である）","（※建築時点は公簿記載の建築年次である）")</f>
        <v>（※建築時点は公簿記載の建築年次である）</v>
      </c>
      <c r="L27" s="696" t="str">
        <f>IF('要因'!K45=1,"（※建築時点は推定建築年次である）","（※建築時点は公簿記載の建築年次である）")</f>
        <v>（※建築時点は公簿記載の建築年次である）</v>
      </c>
    </row>
  </sheetData>
  <sheetProtection/>
  <mergeCells count="9">
    <mergeCell ref="A26:B27"/>
    <mergeCell ref="A2:A3"/>
    <mergeCell ref="A4:A7"/>
    <mergeCell ref="A24:B24"/>
    <mergeCell ref="A25:B25"/>
    <mergeCell ref="A8:A15"/>
    <mergeCell ref="A16:A17"/>
    <mergeCell ref="A21:A23"/>
    <mergeCell ref="A18:A20"/>
  </mergeCells>
  <printOptions/>
  <pageMargins left="1.1811023622047245" right="0.31496062992125984" top="0.68" bottom="0.58" header="0.4330708661417323" footer="0.27"/>
  <pageSetup orientation="portrait" paperSize="9" scale="85" r:id="rId1"/>
  <headerFooter alignWithMargins="0">
    <oddFooter>&amp;L&amp;C&amp;R&amp;"Osaka,斜体"&amp;P</oddFooter>
  </headerFooter>
</worksheet>
</file>

<file path=xl/worksheets/sheet9.xml><?xml version="1.0" encoding="utf-8"?>
<worksheet xmlns="http://schemas.openxmlformats.org/spreadsheetml/2006/main" xmlns:r="http://schemas.openxmlformats.org/officeDocument/2006/relationships">
  <dimension ref="A1:H143"/>
  <sheetViews>
    <sheetView zoomScale="75" zoomScaleNormal="75" workbookViewId="0" topLeftCell="A1">
      <selection activeCell="F3" sqref="F3"/>
    </sheetView>
  </sheetViews>
  <sheetFormatPr defaultColWidth="8.796875" defaultRowHeight="15"/>
  <cols>
    <col min="1" max="6" width="16.69921875" style="498" customWidth="1"/>
    <col min="7" max="16384" width="8.69921875" style="498" customWidth="1"/>
  </cols>
  <sheetData>
    <row r="1" spans="1:6" ht="24.75" customHeight="1">
      <c r="A1" s="622" t="s">
        <v>351</v>
      </c>
      <c r="B1" s="478"/>
      <c r="C1" s="478"/>
      <c r="D1" s="478"/>
      <c r="E1" s="478"/>
      <c r="F1" s="478"/>
    </row>
    <row r="2" spans="1:6" ht="24.75" customHeight="1">
      <c r="A2" s="478" t="s">
        <v>639</v>
      </c>
      <c r="B2" s="478"/>
      <c r="C2" s="478"/>
      <c r="D2" s="478"/>
      <c r="E2" s="478"/>
      <c r="F2" s="478"/>
    </row>
    <row r="3" spans="1:6" ht="24.75" customHeight="1">
      <c r="A3" s="483" t="s">
        <v>1000</v>
      </c>
      <c r="B3" s="478" t="str">
        <f>"物件 "&amp;'基礎'!G29</f>
        <v>物件 1</v>
      </c>
      <c r="C3" s="478" t="s">
        <v>823</v>
      </c>
      <c r="E3" s="478"/>
      <c r="F3" s="478"/>
    </row>
    <row r="4" spans="1:6" ht="24.75" customHeight="1">
      <c r="A4" s="483" t="str">
        <f>B3&amp;" の建付地価格を算出する。"</f>
        <v>物件 1 の建付地価格を算出する。</v>
      </c>
      <c r="B4" s="478"/>
      <c r="C4" s="478"/>
      <c r="D4" s="498" t="s">
        <v>793</v>
      </c>
      <c r="E4" s="478"/>
      <c r="F4" s="478"/>
    </row>
    <row r="5" spans="1:6" ht="24.75" customHeight="1">
      <c r="A5" s="483" t="s">
        <v>226</v>
      </c>
      <c r="B5" s="478"/>
      <c r="C5" s="478"/>
      <c r="D5" s="478"/>
      <c r="E5" s="478"/>
      <c r="F5" s="478"/>
    </row>
    <row r="6" spans="1:6" ht="24.75" customHeight="1">
      <c r="A6" s="623" t="s">
        <v>1001</v>
      </c>
      <c r="B6" s="624" t="s">
        <v>491</v>
      </c>
      <c r="C6" s="624" t="s">
        <v>388</v>
      </c>
      <c r="D6" s="624" t="s">
        <v>293</v>
      </c>
      <c r="E6" s="624" t="s">
        <v>12</v>
      </c>
      <c r="F6" s="625" t="s">
        <v>189</v>
      </c>
    </row>
    <row r="7" spans="1:6" ht="24.75" customHeight="1">
      <c r="A7" s="626" t="s">
        <v>13</v>
      </c>
      <c r="B7" s="627" t="s">
        <v>389</v>
      </c>
      <c r="C7" s="628" t="s">
        <v>380</v>
      </c>
      <c r="D7" s="627" t="s">
        <v>640</v>
      </c>
      <c r="E7" s="628" t="s">
        <v>1023</v>
      </c>
      <c r="F7" s="629" t="s">
        <v>190</v>
      </c>
    </row>
    <row r="8" spans="1:6" ht="24.75" customHeight="1">
      <c r="A8" s="630"/>
      <c r="B8" s="631" t="s">
        <v>381</v>
      </c>
      <c r="C8" s="631" t="s">
        <v>382</v>
      </c>
      <c r="D8" s="631" t="s">
        <v>641</v>
      </c>
      <c r="E8" s="631" t="s">
        <v>559</v>
      </c>
      <c r="F8" s="632" t="s">
        <v>560</v>
      </c>
    </row>
    <row r="9" spans="1:6" ht="24.75" customHeight="1">
      <c r="A9" s="633">
        <f>'試算'!B23</f>
        <v>1</v>
      </c>
      <c r="B9" s="634">
        <f>'試算'!B25</f>
        <v>250000</v>
      </c>
      <c r="C9" s="635">
        <f>'試算'!B26</f>
        <v>1</v>
      </c>
      <c r="D9" s="636">
        <f>'試算'!B32</f>
        <v>100</v>
      </c>
      <c r="E9" s="637">
        <f>'試算'!B33</f>
        <v>0.95</v>
      </c>
      <c r="F9" s="638">
        <f>ROUND('試算'!B37,-3)</f>
        <v>23750000</v>
      </c>
    </row>
    <row r="10" spans="1:6" ht="24.75" customHeight="1">
      <c r="A10" s="478"/>
      <c r="B10" s="478"/>
      <c r="C10" s="478"/>
      <c r="D10" s="478"/>
      <c r="E10" s="478"/>
      <c r="F10" s="478"/>
    </row>
    <row r="11" spans="2:7" ht="24.75" customHeight="1">
      <c r="B11" s="478" t="s">
        <v>644</v>
      </c>
      <c r="C11" s="478"/>
      <c r="D11" s="478"/>
      <c r="E11" s="478"/>
      <c r="F11" s="478"/>
      <c r="G11" s="478"/>
    </row>
    <row r="12" spans="2:7" ht="24.75" customHeight="1">
      <c r="B12" s="639" t="str">
        <f>'基礎'!C21</f>
        <v>地価公示</v>
      </c>
      <c r="C12" s="640" t="str">
        <f>'基礎'!A23</f>
        <v>岐阜ー１０</v>
      </c>
      <c r="E12" s="478"/>
      <c r="F12" s="478"/>
      <c r="G12" s="478"/>
    </row>
    <row r="13" spans="2:6" ht="24.75" customHeight="1">
      <c r="B13" s="641" t="s">
        <v>14</v>
      </c>
      <c r="C13" s="641" t="s">
        <v>1022</v>
      </c>
      <c r="D13" s="641" t="s">
        <v>79</v>
      </c>
      <c r="E13" s="641" t="s">
        <v>83</v>
      </c>
      <c r="F13" s="641" t="s">
        <v>821</v>
      </c>
    </row>
    <row r="14" spans="2:7" ht="24.75" customHeight="1">
      <c r="B14" s="587"/>
      <c r="C14" s="642">
        <f>'試算'!C4*100</f>
        <v>100</v>
      </c>
      <c r="D14" s="642">
        <v>100</v>
      </c>
      <c r="E14" s="642">
        <v>100</v>
      </c>
      <c r="F14" s="643"/>
      <c r="G14" s="478"/>
    </row>
    <row r="15" spans="2:7" ht="24.75" customHeight="1">
      <c r="B15" s="644">
        <f>'試算'!B4</f>
        <v>250000</v>
      </c>
      <c r="C15" s="645" t="s">
        <v>824</v>
      </c>
      <c r="D15" s="645" t="s">
        <v>824</v>
      </c>
      <c r="E15" s="645" t="s">
        <v>15</v>
      </c>
      <c r="F15" s="646">
        <f>標準価格</f>
        <v>250000</v>
      </c>
      <c r="G15" s="478"/>
    </row>
    <row r="16" spans="2:7" ht="24.75" customHeight="1">
      <c r="B16" s="647" t="s">
        <v>389</v>
      </c>
      <c r="C16" s="648">
        <v>100</v>
      </c>
      <c r="D16" s="648">
        <f>'試算'!D4*100</f>
        <v>100</v>
      </c>
      <c r="E16" s="648">
        <f>'試算'!E4*100</f>
        <v>100</v>
      </c>
      <c r="F16" s="647" t="s">
        <v>389</v>
      </c>
      <c r="G16" s="478"/>
    </row>
    <row r="17" spans="2:7" ht="24.75" customHeight="1">
      <c r="B17" s="649"/>
      <c r="C17" s="650"/>
      <c r="D17" s="650"/>
      <c r="E17" s="650"/>
      <c r="F17" s="649"/>
      <c r="G17" s="478"/>
    </row>
    <row r="18" spans="2:7" ht="24.75" customHeight="1">
      <c r="B18" s="478" t="s">
        <v>642</v>
      </c>
      <c r="C18" s="478"/>
      <c r="D18" s="478"/>
      <c r="E18" s="478"/>
      <c r="F18" s="478"/>
      <c r="G18" s="478"/>
    </row>
    <row r="19" spans="2:7" ht="24.75" customHeight="1">
      <c r="B19" s="478"/>
      <c r="C19" s="478"/>
      <c r="D19" s="478"/>
      <c r="E19" s="478"/>
      <c r="F19" s="478"/>
      <c r="G19" s="478"/>
    </row>
    <row r="20" spans="2:7" ht="24.75" customHeight="1">
      <c r="B20" s="478" t="s">
        <v>934</v>
      </c>
      <c r="C20" s="478"/>
      <c r="D20" s="478"/>
      <c r="E20" s="478"/>
      <c r="F20" s="478"/>
      <c r="G20" s="478"/>
    </row>
    <row r="21" spans="2:6" ht="24.75" customHeight="1">
      <c r="B21" s="619" t="str">
        <f>'試算'!C5</f>
        <v>画地条件</v>
      </c>
      <c r="C21" s="619" t="str">
        <f>'試算'!D5</f>
        <v>街路条件</v>
      </c>
      <c r="D21" s="619" t="str">
        <f>'試算'!E5</f>
        <v>接近条件</v>
      </c>
      <c r="E21" s="619" t="str">
        <f>'試算'!F5</f>
        <v>環境条件他</v>
      </c>
      <c r="F21" s="619" t="str">
        <f>'試算'!G5</f>
        <v>（相乗計）</v>
      </c>
    </row>
    <row r="22" spans="2:6" ht="24.75" customHeight="1">
      <c r="B22" s="605">
        <f>'試算'!C6</f>
        <v>0</v>
      </c>
      <c r="C22" s="605">
        <f>'試算'!D6</f>
        <v>0</v>
      </c>
      <c r="D22" s="605">
        <f>'試算'!E6</f>
        <v>0</v>
      </c>
      <c r="E22" s="605">
        <f>'試算'!F6</f>
        <v>0</v>
      </c>
      <c r="F22" s="605">
        <f>'試算'!G6</f>
        <v>1</v>
      </c>
    </row>
    <row r="23" spans="2:6" ht="24.75" customHeight="1">
      <c r="B23" s="651"/>
      <c r="C23" s="651"/>
      <c r="D23" s="651"/>
      <c r="E23" s="651"/>
      <c r="F23" s="651"/>
    </row>
    <row r="24" spans="2:7" ht="24.75" customHeight="1">
      <c r="B24" s="478" t="s">
        <v>16</v>
      </c>
      <c r="C24" s="478"/>
      <c r="D24" s="478"/>
      <c r="E24" s="478"/>
      <c r="F24" s="478"/>
      <c r="G24" s="478"/>
    </row>
    <row r="25" spans="2:6" ht="24.75" customHeight="1">
      <c r="B25" s="619" t="str">
        <f>'試算'!C7</f>
        <v>街路条件</v>
      </c>
      <c r="C25" s="619" t="str">
        <f>'試算'!D7</f>
        <v>接近条件</v>
      </c>
      <c r="D25" s="619" t="str">
        <f>'試算'!E7</f>
        <v>環境条件</v>
      </c>
      <c r="E25" s="619" t="str">
        <f>'試算'!F7</f>
        <v>行政条件他</v>
      </c>
      <c r="F25" s="619" t="str">
        <f>'試算'!G7</f>
        <v>（相乗計）</v>
      </c>
    </row>
    <row r="26" spans="2:6" ht="24.75" customHeight="1">
      <c r="B26" s="605">
        <f>'試算'!C8</f>
        <v>0</v>
      </c>
      <c r="C26" s="605">
        <f>'試算'!D8</f>
        <v>0</v>
      </c>
      <c r="D26" s="605">
        <f>'試算'!E8</f>
        <v>0</v>
      </c>
      <c r="E26" s="605">
        <f>'試算'!F8</f>
        <v>0</v>
      </c>
      <c r="F26" s="605">
        <f>'試算'!G8</f>
        <v>1</v>
      </c>
    </row>
    <row r="27" spans="2:6" ht="24.75" customHeight="1">
      <c r="B27" s="651"/>
      <c r="C27" s="651"/>
      <c r="D27" s="651"/>
      <c r="E27" s="651"/>
      <c r="F27" s="651"/>
    </row>
    <row r="28" spans="2:7" ht="24.75" customHeight="1">
      <c r="B28" s="478" t="s">
        <v>507</v>
      </c>
      <c r="C28" s="478"/>
      <c r="D28" s="478"/>
      <c r="E28" s="478"/>
      <c r="F28" s="478"/>
      <c r="G28" s="478"/>
    </row>
    <row r="29" spans="2:7" ht="24.75" customHeight="1">
      <c r="B29" s="641" t="str">
        <f>'試算'!A27</f>
        <v>規模・形状</v>
      </c>
      <c r="C29" s="641" t="str">
        <f>'試算'!A28</f>
        <v>間口・奥行</v>
      </c>
      <c r="D29" s="641" t="str">
        <f>'試算'!A29</f>
        <v>方位高低差</v>
      </c>
      <c r="E29" s="641" t="str">
        <f>'試算'!A30</f>
        <v>接面街路他</v>
      </c>
      <c r="F29" s="641" t="s">
        <v>935</v>
      </c>
      <c r="G29" s="478"/>
    </row>
    <row r="30" spans="2:7" ht="24.75" customHeight="1">
      <c r="B30" s="652">
        <f>'試算'!B27</f>
        <v>0</v>
      </c>
      <c r="C30" s="652">
        <f>'試算'!B28</f>
        <v>0</v>
      </c>
      <c r="D30" s="652">
        <f>'試算'!B29</f>
        <v>0</v>
      </c>
      <c r="E30" s="652">
        <f>'試算'!B30</f>
        <v>0</v>
      </c>
      <c r="F30" s="616">
        <f>'試算'!B26</f>
        <v>1</v>
      </c>
      <c r="G30" s="478"/>
    </row>
    <row r="31" spans="2:7" ht="24.75" customHeight="1">
      <c r="B31" s="653"/>
      <c r="C31" s="653"/>
      <c r="D31" s="653"/>
      <c r="E31" s="653"/>
      <c r="F31" s="654"/>
      <c r="G31" s="478"/>
    </row>
    <row r="32" spans="2:7" ht="24.75" customHeight="1">
      <c r="B32" s="478" t="s">
        <v>17</v>
      </c>
      <c r="C32" s="478"/>
      <c r="D32" s="478"/>
      <c r="E32" s="478"/>
      <c r="F32" s="478"/>
      <c r="G32" s="478"/>
    </row>
    <row r="33" spans="2:7" ht="24.75" customHeight="1">
      <c r="B33" s="478" t="s">
        <v>508</v>
      </c>
      <c r="C33" s="478"/>
      <c r="D33" s="478"/>
      <c r="E33" s="478"/>
      <c r="F33" s="478"/>
      <c r="G33" s="478"/>
    </row>
    <row r="34" spans="1:6" ht="24.75" customHeight="1">
      <c r="A34" s="478"/>
      <c r="B34" s="478"/>
      <c r="C34" s="478"/>
      <c r="D34" s="478"/>
      <c r="E34" s="478"/>
      <c r="F34" s="478"/>
    </row>
    <row r="35" spans="1:6" ht="24.75" customHeight="1">
      <c r="A35" s="483" t="s">
        <v>133</v>
      </c>
      <c r="B35" s="478" t="str">
        <f>"物件 "&amp;'基礎'!I29</f>
        <v>物件 2</v>
      </c>
      <c r="C35" s="478" t="s">
        <v>822</v>
      </c>
      <c r="D35" s="478"/>
      <c r="E35" s="478"/>
      <c r="F35" s="478"/>
    </row>
    <row r="36" spans="1:6" ht="24.75" customHeight="1">
      <c r="A36" s="1125" t="s">
        <v>509</v>
      </c>
      <c r="B36" s="1125"/>
      <c r="C36" s="1125"/>
      <c r="D36" s="1125"/>
      <c r="E36" s="1125"/>
      <c r="F36" s="1125"/>
    </row>
    <row r="37" spans="1:6" ht="24.75" customHeight="1">
      <c r="A37" s="1125"/>
      <c r="B37" s="1125"/>
      <c r="C37" s="1125"/>
      <c r="D37" s="1125"/>
      <c r="E37" s="1125"/>
      <c r="F37" s="1125"/>
    </row>
    <row r="38" spans="1:6" ht="24.75" customHeight="1">
      <c r="A38" s="1125"/>
      <c r="B38" s="1125"/>
      <c r="C38" s="1125"/>
      <c r="D38" s="1125"/>
      <c r="E38" s="1125"/>
      <c r="F38" s="1125"/>
    </row>
    <row r="39" spans="1:6" ht="24.75" customHeight="1">
      <c r="A39" s="478"/>
      <c r="B39" s="478"/>
      <c r="C39" s="478"/>
      <c r="D39" s="478"/>
      <c r="E39" s="478"/>
      <c r="F39" s="478"/>
    </row>
    <row r="40" spans="1:6" ht="24.75" customHeight="1">
      <c r="A40" s="655" t="s">
        <v>18</v>
      </c>
      <c r="B40" s="656" t="s">
        <v>383</v>
      </c>
      <c r="C40" s="656" t="s">
        <v>19</v>
      </c>
      <c r="D40" s="656" t="s">
        <v>825</v>
      </c>
      <c r="E40" s="1123" t="s">
        <v>964</v>
      </c>
      <c r="F40" s="1124"/>
    </row>
    <row r="41" spans="1:6" ht="24.75" customHeight="1">
      <c r="A41" s="657" t="s">
        <v>13</v>
      </c>
      <c r="B41" s="658" t="s">
        <v>389</v>
      </c>
      <c r="C41" s="658" t="s">
        <v>20</v>
      </c>
      <c r="D41" s="659" t="s">
        <v>21</v>
      </c>
      <c r="E41" s="1116" t="s">
        <v>190</v>
      </c>
      <c r="F41" s="1117"/>
    </row>
    <row r="42" spans="1:6" ht="24.75" customHeight="1">
      <c r="A42" s="660"/>
      <c r="B42" s="631" t="s">
        <v>381</v>
      </c>
      <c r="C42" s="631" t="s">
        <v>50</v>
      </c>
      <c r="D42" s="631" t="s">
        <v>384</v>
      </c>
      <c r="E42" s="1118" t="s">
        <v>385</v>
      </c>
      <c r="F42" s="1119"/>
    </row>
    <row r="43" spans="1:6" ht="24.75" customHeight="1">
      <c r="A43" s="633" t="str">
        <f>'試算'!C50</f>
        <v>2</v>
      </c>
      <c r="B43" s="634">
        <f>'試算'!C53</f>
        <v>150000</v>
      </c>
      <c r="C43" s="661">
        <f>'試算'!C55</f>
        <v>100</v>
      </c>
      <c r="D43" s="662">
        <f>'試算'!C64</f>
        <v>0.1492</v>
      </c>
      <c r="E43" s="1121">
        <f>'試算'!C65</f>
        <v>2238000</v>
      </c>
      <c r="F43" s="1122"/>
    </row>
    <row r="44" spans="1:6" ht="24.75" customHeight="1">
      <c r="A44" s="663" t="s">
        <v>737</v>
      </c>
      <c r="B44" s="664" t="s">
        <v>738</v>
      </c>
      <c r="C44" s="665" t="s">
        <v>851</v>
      </c>
      <c r="D44" s="666" t="s">
        <v>852</v>
      </c>
      <c r="E44" s="1120" t="s">
        <v>853</v>
      </c>
      <c r="F44" s="1120"/>
    </row>
    <row r="45" spans="1:6" ht="24.75" customHeight="1">
      <c r="A45" s="667">
        <f>償却残価率</f>
        <v>0.05</v>
      </c>
      <c r="B45" s="667">
        <f>'試算'!C60</f>
        <v>0.1492</v>
      </c>
      <c r="C45" s="667">
        <f>'試算'!C61</f>
        <v>0.3967</v>
      </c>
      <c r="D45" s="667">
        <f>IF('試算'!C62=0,"",'試算'!C62)</f>
      </c>
      <c r="E45" s="1115">
        <f>'試算'!C64</f>
        <v>0.1492</v>
      </c>
      <c r="F45" s="1115"/>
    </row>
    <row r="46" spans="1:7" ht="24.75" customHeight="1">
      <c r="A46" s="668" t="s">
        <v>411</v>
      </c>
      <c r="B46" s="669">
        <f>'試算'!C59</f>
        <v>17.4</v>
      </c>
      <c r="C46" s="670" t="s">
        <v>161</v>
      </c>
      <c r="D46" s="669">
        <f>'試算'!C58</f>
        <v>10</v>
      </c>
      <c r="E46" s="670" t="s">
        <v>457</v>
      </c>
      <c r="F46" s="669">
        <f>'試算'!C58+'試算'!C59</f>
        <v>27.4</v>
      </c>
      <c r="G46" s="497"/>
    </row>
    <row r="47" spans="1:6" ht="24.75" customHeight="1">
      <c r="A47" s="671"/>
      <c r="B47" s="672"/>
      <c r="C47" s="673"/>
      <c r="D47" s="674"/>
      <c r="E47" s="672"/>
      <c r="F47" s="672"/>
    </row>
    <row r="48" spans="1:6" s="488" customFormat="1" ht="24.75" customHeight="1">
      <c r="A48" s="655" t="s">
        <v>22</v>
      </c>
      <c r="B48" s="656" t="s">
        <v>383</v>
      </c>
      <c r="C48" s="656" t="s">
        <v>23</v>
      </c>
      <c r="D48" s="656" t="s">
        <v>825</v>
      </c>
      <c r="E48" s="1123" t="s">
        <v>964</v>
      </c>
      <c r="F48" s="1124"/>
    </row>
    <row r="49" spans="1:6" ht="24.75" customHeight="1">
      <c r="A49" s="657" t="s">
        <v>13</v>
      </c>
      <c r="B49" s="658" t="s">
        <v>389</v>
      </c>
      <c r="C49" s="658" t="s">
        <v>20</v>
      </c>
      <c r="D49" s="659" t="s">
        <v>21</v>
      </c>
      <c r="E49" s="1116" t="s">
        <v>190</v>
      </c>
      <c r="F49" s="1117"/>
    </row>
    <row r="50" spans="1:6" ht="24.75" customHeight="1">
      <c r="A50" s="660"/>
      <c r="B50" s="631" t="s">
        <v>381</v>
      </c>
      <c r="C50" s="631" t="s">
        <v>50</v>
      </c>
      <c r="D50" s="631" t="s">
        <v>384</v>
      </c>
      <c r="E50" s="1118" t="s">
        <v>385</v>
      </c>
      <c r="F50" s="1119"/>
    </row>
    <row r="51" spans="1:6" ht="24.75" customHeight="1">
      <c r="A51" s="633">
        <f>'試算'!D50</f>
        <v>0</v>
      </c>
      <c r="B51" s="634">
        <f>'試算'!D53</f>
        <v>0</v>
      </c>
      <c r="C51" s="661">
        <f>'試算'!D55</f>
        <v>0</v>
      </c>
      <c r="D51" s="662">
        <f>'試算'!D64</f>
        <v>0</v>
      </c>
      <c r="E51" s="1121">
        <f>'試算'!D65</f>
        <v>0</v>
      </c>
      <c r="F51" s="1122"/>
    </row>
    <row r="52" spans="1:6" ht="24.75" customHeight="1">
      <c r="A52" s="663" t="s">
        <v>737</v>
      </c>
      <c r="B52" s="664" t="s">
        <v>738</v>
      </c>
      <c r="C52" s="665" t="s">
        <v>851</v>
      </c>
      <c r="D52" s="666" t="s">
        <v>852</v>
      </c>
      <c r="E52" s="1120" t="s">
        <v>853</v>
      </c>
      <c r="F52" s="1120"/>
    </row>
    <row r="53" spans="1:6" ht="24.75" customHeight="1">
      <c r="A53" s="667">
        <f>償却残価率</f>
        <v>0.05</v>
      </c>
      <c r="B53" s="667">
        <f>'試算'!D60</f>
        <v>0</v>
      </c>
      <c r="C53" s="667">
        <f>'試算'!D61</f>
        <v>0</v>
      </c>
      <c r="D53" s="667">
        <f>IF('試算'!D62=0,"",'試算'!D62)</f>
      </c>
      <c r="E53" s="1115">
        <f>'試算'!D64</f>
        <v>0</v>
      </c>
      <c r="F53" s="1115"/>
    </row>
    <row r="54" spans="1:6" ht="24.75" customHeight="1">
      <c r="A54" s="668" t="s">
        <v>411</v>
      </c>
      <c r="B54" s="669">
        <f>'試算'!D59</f>
        <v>0</v>
      </c>
      <c r="C54" s="670" t="s">
        <v>161</v>
      </c>
      <c r="D54" s="669">
        <f>'試算'!D58</f>
        <v>0</v>
      </c>
      <c r="E54" s="670" t="s">
        <v>457</v>
      </c>
      <c r="F54" s="669">
        <f>'試算'!D58+'試算'!D59</f>
        <v>0</v>
      </c>
    </row>
    <row r="55" spans="1:6" ht="24.75" customHeight="1">
      <c r="A55" s="478"/>
      <c r="B55" s="478"/>
      <c r="C55" s="478"/>
      <c r="D55" s="478"/>
      <c r="E55" s="478"/>
      <c r="F55" s="478"/>
    </row>
    <row r="56" spans="1:6" ht="24.75" customHeight="1">
      <c r="A56" s="655" t="s">
        <v>22</v>
      </c>
      <c r="B56" s="656" t="s">
        <v>383</v>
      </c>
      <c r="C56" s="656" t="s">
        <v>23</v>
      </c>
      <c r="D56" s="656" t="s">
        <v>825</v>
      </c>
      <c r="E56" s="1123" t="s">
        <v>964</v>
      </c>
      <c r="F56" s="1124"/>
    </row>
    <row r="57" spans="1:6" ht="24.75" customHeight="1">
      <c r="A57" s="657" t="s">
        <v>13</v>
      </c>
      <c r="B57" s="658" t="s">
        <v>389</v>
      </c>
      <c r="C57" s="658" t="s">
        <v>20</v>
      </c>
      <c r="D57" s="659" t="s">
        <v>21</v>
      </c>
      <c r="E57" s="1116" t="s">
        <v>190</v>
      </c>
      <c r="F57" s="1117"/>
    </row>
    <row r="58" spans="1:6" ht="24.75" customHeight="1">
      <c r="A58" s="660"/>
      <c r="B58" s="631" t="s">
        <v>381</v>
      </c>
      <c r="C58" s="631" t="s">
        <v>50</v>
      </c>
      <c r="D58" s="631" t="s">
        <v>384</v>
      </c>
      <c r="E58" s="1118" t="s">
        <v>385</v>
      </c>
      <c r="F58" s="1119"/>
    </row>
    <row r="59" spans="1:6" ht="24.75" customHeight="1">
      <c r="A59" s="675">
        <f>'試算'!E50</f>
        <v>0</v>
      </c>
      <c r="B59" s="634">
        <f>'試算'!E53</f>
        <v>0</v>
      </c>
      <c r="C59" s="661">
        <f>'試算'!E55</f>
        <v>0</v>
      </c>
      <c r="D59" s="662">
        <f>'試算'!E64</f>
        <v>0</v>
      </c>
      <c r="E59" s="1121">
        <f>'試算'!E65</f>
        <v>0</v>
      </c>
      <c r="F59" s="1122"/>
    </row>
    <row r="60" spans="1:6" ht="24.75" customHeight="1">
      <c r="A60" s="663" t="s">
        <v>737</v>
      </c>
      <c r="B60" s="664" t="s">
        <v>738</v>
      </c>
      <c r="C60" s="665" t="s">
        <v>851</v>
      </c>
      <c r="D60" s="666" t="s">
        <v>852</v>
      </c>
      <c r="E60" s="1120" t="s">
        <v>853</v>
      </c>
      <c r="F60" s="1120"/>
    </row>
    <row r="61" spans="1:6" ht="24.75" customHeight="1">
      <c r="A61" s="667">
        <f>償却残価率</f>
        <v>0.05</v>
      </c>
      <c r="B61" s="667">
        <f>'試算'!E60</f>
        <v>0</v>
      </c>
      <c r="C61" s="667">
        <f>'試算'!E61</f>
        <v>0</v>
      </c>
      <c r="D61" s="667">
        <f>IF('試算'!E62=0,"",'試算'!E62)</f>
      </c>
      <c r="E61" s="1115">
        <f>'試算'!E64</f>
        <v>0</v>
      </c>
      <c r="F61" s="1115"/>
    </row>
    <row r="62" spans="1:6" ht="24.75" customHeight="1">
      <c r="A62" s="668" t="s">
        <v>411</v>
      </c>
      <c r="B62" s="669">
        <f>'試算'!E59</f>
        <v>0</v>
      </c>
      <c r="C62" s="670" t="s">
        <v>161</v>
      </c>
      <c r="D62" s="669">
        <f>'試算'!E58</f>
        <v>0</v>
      </c>
      <c r="E62" s="670" t="s">
        <v>457</v>
      </c>
      <c r="F62" s="669">
        <f>'試算'!E58+'試算'!E59</f>
        <v>0</v>
      </c>
    </row>
    <row r="63" spans="1:6" ht="24.75" customHeight="1">
      <c r="A63" s="676"/>
      <c r="B63" s="677"/>
      <c r="C63" s="678"/>
      <c r="D63" s="679"/>
      <c r="E63" s="677"/>
      <c r="F63" s="677"/>
    </row>
    <row r="64" spans="1:6" ht="24.75" customHeight="1">
      <c r="A64" s="655" t="s">
        <v>22</v>
      </c>
      <c r="B64" s="656" t="s">
        <v>383</v>
      </c>
      <c r="C64" s="656" t="s">
        <v>23</v>
      </c>
      <c r="D64" s="656" t="s">
        <v>825</v>
      </c>
      <c r="E64" s="1123" t="s">
        <v>964</v>
      </c>
      <c r="F64" s="1124"/>
    </row>
    <row r="65" spans="1:6" ht="24.75" customHeight="1">
      <c r="A65" s="657" t="s">
        <v>13</v>
      </c>
      <c r="B65" s="658" t="s">
        <v>389</v>
      </c>
      <c r="C65" s="658" t="s">
        <v>20</v>
      </c>
      <c r="D65" s="659" t="s">
        <v>21</v>
      </c>
      <c r="E65" s="1116" t="s">
        <v>190</v>
      </c>
      <c r="F65" s="1117"/>
    </row>
    <row r="66" spans="1:6" ht="24.75" customHeight="1">
      <c r="A66" s="660"/>
      <c r="B66" s="631" t="s">
        <v>381</v>
      </c>
      <c r="C66" s="631" t="s">
        <v>50</v>
      </c>
      <c r="D66" s="631" t="s">
        <v>384</v>
      </c>
      <c r="E66" s="1118" t="s">
        <v>385</v>
      </c>
      <c r="F66" s="1119"/>
    </row>
    <row r="67" spans="1:6" ht="24.75" customHeight="1">
      <c r="A67" s="675">
        <f>'試算'!F50</f>
        <v>0</v>
      </c>
      <c r="B67" s="634">
        <f>'試算'!F53</f>
        <v>0</v>
      </c>
      <c r="C67" s="661">
        <f>'試算'!F55</f>
        <v>0</v>
      </c>
      <c r="D67" s="662">
        <f>'試算'!F64</f>
        <v>0</v>
      </c>
      <c r="E67" s="1121">
        <f>'試算'!F65</f>
        <v>0</v>
      </c>
      <c r="F67" s="1122"/>
    </row>
    <row r="68" spans="1:6" ht="24.75" customHeight="1">
      <c r="A68" s="663" t="s">
        <v>737</v>
      </c>
      <c r="B68" s="664" t="s">
        <v>738</v>
      </c>
      <c r="C68" s="665" t="s">
        <v>851</v>
      </c>
      <c r="D68" s="666" t="s">
        <v>852</v>
      </c>
      <c r="E68" s="1120" t="s">
        <v>853</v>
      </c>
      <c r="F68" s="1120"/>
    </row>
    <row r="69" spans="1:6" ht="24.75" customHeight="1">
      <c r="A69" s="667">
        <f>償却残価率</f>
        <v>0.05</v>
      </c>
      <c r="B69" s="667">
        <f>'試算'!F60</f>
        <v>0</v>
      </c>
      <c r="C69" s="667">
        <f>'試算'!F61</f>
        <v>0</v>
      </c>
      <c r="D69" s="667">
        <f>IF('試算'!F62=0,"",'試算'!F62)</f>
      </c>
      <c r="E69" s="1115">
        <f>'試算'!F64</f>
        <v>0</v>
      </c>
      <c r="F69" s="1115"/>
    </row>
    <row r="70" spans="1:6" ht="24.75" customHeight="1">
      <c r="A70" s="668" t="s">
        <v>411</v>
      </c>
      <c r="B70" s="669">
        <f>'試算'!F59</f>
        <v>0</v>
      </c>
      <c r="C70" s="670" t="s">
        <v>161</v>
      </c>
      <c r="D70" s="669">
        <f>'試算'!F58</f>
        <v>0</v>
      </c>
      <c r="E70" s="670" t="s">
        <v>457</v>
      </c>
      <c r="F70" s="669">
        <f>'試算'!F58+'試算'!F59</f>
        <v>0</v>
      </c>
    </row>
    <row r="71" spans="1:6" ht="24.75" customHeight="1">
      <c r="A71" s="676"/>
      <c r="B71" s="677"/>
      <c r="C71" s="678"/>
      <c r="D71" s="679"/>
      <c r="E71" s="677"/>
      <c r="F71" s="677"/>
    </row>
    <row r="72" spans="1:6" ht="24.75" customHeight="1">
      <c r="A72" s="655" t="s">
        <v>22</v>
      </c>
      <c r="B72" s="656" t="s">
        <v>383</v>
      </c>
      <c r="C72" s="656" t="s">
        <v>23</v>
      </c>
      <c r="D72" s="656" t="s">
        <v>825</v>
      </c>
      <c r="E72" s="1123" t="s">
        <v>964</v>
      </c>
      <c r="F72" s="1124"/>
    </row>
    <row r="73" spans="1:6" ht="24.75" customHeight="1">
      <c r="A73" s="657" t="s">
        <v>13</v>
      </c>
      <c r="B73" s="658" t="s">
        <v>389</v>
      </c>
      <c r="C73" s="658" t="s">
        <v>20</v>
      </c>
      <c r="D73" s="659" t="s">
        <v>21</v>
      </c>
      <c r="E73" s="1116" t="s">
        <v>190</v>
      </c>
      <c r="F73" s="1117"/>
    </row>
    <row r="74" spans="1:6" ht="24.75" customHeight="1">
      <c r="A74" s="660"/>
      <c r="B74" s="631" t="s">
        <v>381</v>
      </c>
      <c r="C74" s="631" t="s">
        <v>50</v>
      </c>
      <c r="D74" s="631" t="s">
        <v>384</v>
      </c>
      <c r="E74" s="1118" t="s">
        <v>385</v>
      </c>
      <c r="F74" s="1119"/>
    </row>
    <row r="75" spans="1:6" ht="24.75" customHeight="1">
      <c r="A75" s="675">
        <f>'試算'!G50</f>
        <v>0</v>
      </c>
      <c r="B75" s="634">
        <f>'試算'!G53</f>
        <v>0</v>
      </c>
      <c r="C75" s="661">
        <f>'試算'!G55</f>
        <v>0</v>
      </c>
      <c r="D75" s="662">
        <f>'試算'!G64</f>
        <v>0</v>
      </c>
      <c r="E75" s="1121">
        <f>'試算'!G65</f>
        <v>0</v>
      </c>
      <c r="F75" s="1122"/>
    </row>
    <row r="76" spans="1:6" ht="24.75" customHeight="1">
      <c r="A76" s="663" t="s">
        <v>737</v>
      </c>
      <c r="B76" s="664" t="s">
        <v>738</v>
      </c>
      <c r="C76" s="665" t="s">
        <v>851</v>
      </c>
      <c r="D76" s="666" t="s">
        <v>852</v>
      </c>
      <c r="E76" s="1120" t="s">
        <v>853</v>
      </c>
      <c r="F76" s="1120"/>
    </row>
    <row r="77" spans="1:6" ht="24.75" customHeight="1">
      <c r="A77" s="667">
        <f>償却残価率</f>
        <v>0.05</v>
      </c>
      <c r="B77" s="667">
        <f>'試算'!G60</f>
        <v>0</v>
      </c>
      <c r="C77" s="667">
        <f>'試算'!G61</f>
        <v>0</v>
      </c>
      <c r="D77" s="667">
        <f>IF('試算'!G62=0,"",'試算'!G62)</f>
      </c>
      <c r="E77" s="1115">
        <f>'試算'!G64</f>
        <v>0</v>
      </c>
      <c r="F77" s="1115"/>
    </row>
    <row r="78" spans="1:6" ht="24.75" customHeight="1">
      <c r="A78" s="668" t="s">
        <v>411</v>
      </c>
      <c r="B78" s="669">
        <f>'試算'!G59</f>
        <v>0</v>
      </c>
      <c r="C78" s="670" t="s">
        <v>161</v>
      </c>
      <c r="D78" s="669">
        <f>'試算'!G58</f>
        <v>0</v>
      </c>
      <c r="E78" s="670" t="s">
        <v>457</v>
      </c>
      <c r="F78" s="669">
        <f>'試算'!G58+'試算'!G59</f>
        <v>0</v>
      </c>
    </row>
    <row r="79" spans="1:6" ht="24.75" customHeight="1">
      <c r="A79" s="676"/>
      <c r="B79" s="677"/>
      <c r="C79" s="678"/>
      <c r="D79" s="679"/>
      <c r="E79" s="677"/>
      <c r="F79" s="677"/>
    </row>
    <row r="80" spans="1:6" ht="24.75" customHeight="1">
      <c r="A80" s="655" t="s">
        <v>22</v>
      </c>
      <c r="B80" s="656" t="s">
        <v>383</v>
      </c>
      <c r="C80" s="656" t="s">
        <v>23</v>
      </c>
      <c r="D80" s="656" t="s">
        <v>825</v>
      </c>
      <c r="E80" s="1123" t="s">
        <v>964</v>
      </c>
      <c r="F80" s="1124"/>
    </row>
    <row r="81" spans="1:6" ht="24.75" customHeight="1">
      <c r="A81" s="657" t="s">
        <v>13</v>
      </c>
      <c r="B81" s="658" t="s">
        <v>389</v>
      </c>
      <c r="C81" s="658" t="s">
        <v>20</v>
      </c>
      <c r="D81" s="659" t="s">
        <v>21</v>
      </c>
      <c r="E81" s="1116" t="s">
        <v>190</v>
      </c>
      <c r="F81" s="1117"/>
    </row>
    <row r="82" spans="1:6" ht="24.75" customHeight="1">
      <c r="A82" s="660"/>
      <c r="B82" s="631" t="s">
        <v>381</v>
      </c>
      <c r="C82" s="631" t="s">
        <v>50</v>
      </c>
      <c r="D82" s="631" t="s">
        <v>384</v>
      </c>
      <c r="E82" s="1118" t="s">
        <v>385</v>
      </c>
      <c r="F82" s="1119"/>
    </row>
    <row r="83" spans="1:6" ht="24.75" customHeight="1">
      <c r="A83" s="675">
        <f>'試算'!H50</f>
        <v>0</v>
      </c>
      <c r="B83" s="634">
        <f>'試算'!H53</f>
        <v>0</v>
      </c>
      <c r="C83" s="661">
        <f>'試算'!H55</f>
        <v>0</v>
      </c>
      <c r="D83" s="662">
        <f>'試算'!H64</f>
        <v>0</v>
      </c>
      <c r="E83" s="1121">
        <f>'試算'!H65</f>
        <v>0</v>
      </c>
      <c r="F83" s="1122"/>
    </row>
    <row r="84" spans="1:6" ht="24.75" customHeight="1">
      <c r="A84" s="663" t="s">
        <v>737</v>
      </c>
      <c r="B84" s="664" t="s">
        <v>738</v>
      </c>
      <c r="C84" s="665" t="s">
        <v>851</v>
      </c>
      <c r="D84" s="666" t="s">
        <v>852</v>
      </c>
      <c r="E84" s="1120" t="s">
        <v>853</v>
      </c>
      <c r="F84" s="1120"/>
    </row>
    <row r="85" spans="1:6" ht="24.75" customHeight="1">
      <c r="A85" s="667">
        <f>償却残価率</f>
        <v>0.05</v>
      </c>
      <c r="B85" s="667">
        <f>'試算'!H60</f>
        <v>0</v>
      </c>
      <c r="C85" s="667">
        <f>'試算'!H61</f>
        <v>0</v>
      </c>
      <c r="D85" s="667">
        <f>IF('試算'!H62=0,"",'試算'!H62)</f>
      </c>
      <c r="E85" s="1115">
        <f>'試算'!H64</f>
        <v>0</v>
      </c>
      <c r="F85" s="1115"/>
    </row>
    <row r="86" spans="1:6" ht="24.75" customHeight="1">
      <c r="A86" s="668" t="s">
        <v>411</v>
      </c>
      <c r="B86" s="669">
        <f>'試算'!H59</f>
        <v>0</v>
      </c>
      <c r="C86" s="670" t="s">
        <v>161</v>
      </c>
      <c r="D86" s="669">
        <f>'試算'!H58</f>
        <v>0</v>
      </c>
      <c r="E86" s="670" t="s">
        <v>457</v>
      </c>
      <c r="F86" s="669">
        <f>'試算'!H58+'試算'!H59</f>
        <v>0</v>
      </c>
    </row>
    <row r="87" spans="1:6" ht="24.75" customHeight="1">
      <c r="A87" s="676"/>
      <c r="B87" s="677"/>
      <c r="C87" s="678"/>
      <c r="D87" s="679"/>
      <c r="E87" s="677"/>
      <c r="F87" s="677"/>
    </row>
    <row r="88" spans="1:6" ht="24.75" customHeight="1">
      <c r="A88" s="655" t="s">
        <v>22</v>
      </c>
      <c r="B88" s="656" t="s">
        <v>383</v>
      </c>
      <c r="C88" s="656" t="s">
        <v>23</v>
      </c>
      <c r="D88" s="656" t="s">
        <v>825</v>
      </c>
      <c r="E88" s="1123" t="s">
        <v>964</v>
      </c>
      <c r="F88" s="1124"/>
    </row>
    <row r="89" spans="1:6" ht="24.75" customHeight="1">
      <c r="A89" s="657" t="s">
        <v>13</v>
      </c>
      <c r="B89" s="658" t="s">
        <v>389</v>
      </c>
      <c r="C89" s="658" t="s">
        <v>20</v>
      </c>
      <c r="D89" s="659" t="s">
        <v>21</v>
      </c>
      <c r="E89" s="1116" t="s">
        <v>190</v>
      </c>
      <c r="F89" s="1117"/>
    </row>
    <row r="90" spans="1:6" ht="24.75" customHeight="1">
      <c r="A90" s="660"/>
      <c r="B90" s="631" t="s">
        <v>381</v>
      </c>
      <c r="C90" s="631" t="s">
        <v>50</v>
      </c>
      <c r="D90" s="631" t="s">
        <v>384</v>
      </c>
      <c r="E90" s="1118" t="s">
        <v>385</v>
      </c>
      <c r="F90" s="1119"/>
    </row>
    <row r="91" spans="1:6" ht="24.75" customHeight="1">
      <c r="A91" s="675">
        <f>'試算'!I50</f>
        <v>0</v>
      </c>
      <c r="B91" s="634">
        <f>'試算'!I53</f>
        <v>0</v>
      </c>
      <c r="C91" s="661">
        <f>'試算'!I55</f>
        <v>0</v>
      </c>
      <c r="D91" s="662">
        <f>'試算'!I64</f>
        <v>0</v>
      </c>
      <c r="E91" s="1121">
        <f>'試算'!I65</f>
        <v>0</v>
      </c>
      <c r="F91" s="1122"/>
    </row>
    <row r="92" spans="1:6" ht="24.75" customHeight="1">
      <c r="A92" s="663" t="s">
        <v>737</v>
      </c>
      <c r="B92" s="664" t="s">
        <v>738</v>
      </c>
      <c r="C92" s="665" t="s">
        <v>851</v>
      </c>
      <c r="D92" s="666" t="s">
        <v>852</v>
      </c>
      <c r="E92" s="1120" t="s">
        <v>853</v>
      </c>
      <c r="F92" s="1120"/>
    </row>
    <row r="93" spans="1:6" ht="24.75" customHeight="1">
      <c r="A93" s="667">
        <f>償却残価率</f>
        <v>0.05</v>
      </c>
      <c r="B93" s="667">
        <f>'試算'!I60</f>
        <v>0</v>
      </c>
      <c r="C93" s="667">
        <f>'試算'!I61</f>
        <v>0</v>
      </c>
      <c r="D93" s="667">
        <f>IF('試算'!I62=0,"",'試算'!I62)</f>
      </c>
      <c r="E93" s="1115">
        <f>'試算'!I64</f>
        <v>0</v>
      </c>
      <c r="F93" s="1115"/>
    </row>
    <row r="94" spans="1:6" ht="24.75" customHeight="1">
      <c r="A94" s="668" t="s">
        <v>411</v>
      </c>
      <c r="B94" s="669">
        <f>'試算'!I59</f>
        <v>0</v>
      </c>
      <c r="C94" s="670" t="s">
        <v>161</v>
      </c>
      <c r="D94" s="669">
        <f>'試算'!I58</f>
        <v>0</v>
      </c>
      <c r="E94" s="670" t="s">
        <v>457</v>
      </c>
      <c r="F94" s="669">
        <f>'試算'!I58+'試算'!I59</f>
        <v>0</v>
      </c>
    </row>
    <row r="95" spans="1:6" ht="24.75" customHeight="1">
      <c r="A95" s="676"/>
      <c r="B95" s="677"/>
      <c r="C95" s="678"/>
      <c r="D95" s="679"/>
      <c r="E95" s="677"/>
      <c r="F95" s="677"/>
    </row>
    <row r="96" spans="1:6" ht="24.75" customHeight="1">
      <c r="A96" s="655" t="s">
        <v>22</v>
      </c>
      <c r="B96" s="656" t="s">
        <v>383</v>
      </c>
      <c r="C96" s="656" t="s">
        <v>23</v>
      </c>
      <c r="D96" s="656" t="s">
        <v>825</v>
      </c>
      <c r="E96" s="1123" t="s">
        <v>964</v>
      </c>
      <c r="F96" s="1124"/>
    </row>
    <row r="97" spans="1:6" ht="24.75" customHeight="1">
      <c r="A97" s="657" t="s">
        <v>13</v>
      </c>
      <c r="B97" s="658" t="s">
        <v>389</v>
      </c>
      <c r="C97" s="658" t="s">
        <v>20</v>
      </c>
      <c r="D97" s="659" t="s">
        <v>21</v>
      </c>
      <c r="E97" s="1116" t="s">
        <v>190</v>
      </c>
      <c r="F97" s="1117"/>
    </row>
    <row r="98" spans="1:6" ht="24.75" customHeight="1">
      <c r="A98" s="660"/>
      <c r="B98" s="631" t="s">
        <v>381</v>
      </c>
      <c r="C98" s="631" t="s">
        <v>50</v>
      </c>
      <c r="D98" s="631" t="s">
        <v>384</v>
      </c>
      <c r="E98" s="1118" t="s">
        <v>385</v>
      </c>
      <c r="F98" s="1119"/>
    </row>
    <row r="99" spans="1:6" ht="24.75" customHeight="1">
      <c r="A99" s="680">
        <f>'試算'!J50</f>
        <v>0</v>
      </c>
      <c r="B99" s="634">
        <f>'試算'!J53</f>
        <v>0</v>
      </c>
      <c r="C99" s="661">
        <f>'試算'!J55</f>
        <v>0</v>
      </c>
      <c r="D99" s="662">
        <f>'試算'!J64</f>
        <v>0</v>
      </c>
      <c r="E99" s="1121">
        <f>'試算'!J65</f>
        <v>0</v>
      </c>
      <c r="F99" s="1122"/>
    </row>
    <row r="100" spans="1:6" ht="24.75" customHeight="1">
      <c r="A100" s="663" t="s">
        <v>737</v>
      </c>
      <c r="B100" s="664" t="s">
        <v>738</v>
      </c>
      <c r="C100" s="665" t="s">
        <v>851</v>
      </c>
      <c r="D100" s="666" t="s">
        <v>852</v>
      </c>
      <c r="E100" s="1120" t="s">
        <v>853</v>
      </c>
      <c r="F100" s="1120"/>
    </row>
    <row r="101" spans="1:6" ht="24.75" customHeight="1">
      <c r="A101" s="667">
        <f>償却残価率</f>
        <v>0.05</v>
      </c>
      <c r="B101" s="667">
        <f>'試算'!J60</f>
        <v>0</v>
      </c>
      <c r="C101" s="667">
        <f>'試算'!J61</f>
        <v>0</v>
      </c>
      <c r="D101" s="667">
        <f>IF('試算'!J62=0,"",'試算'!J62)</f>
      </c>
      <c r="E101" s="1115">
        <f>'試算'!J64</f>
        <v>0</v>
      </c>
      <c r="F101" s="1115"/>
    </row>
    <row r="102" spans="1:6" ht="24.75" customHeight="1">
      <c r="A102" s="668" t="s">
        <v>411</v>
      </c>
      <c r="B102" s="669">
        <f>'試算'!J59</f>
        <v>0</v>
      </c>
      <c r="C102" s="670" t="s">
        <v>161</v>
      </c>
      <c r="D102" s="669">
        <f>'試算'!J58</f>
        <v>0</v>
      </c>
      <c r="E102" s="670" t="s">
        <v>457</v>
      </c>
      <c r="F102" s="669">
        <f>'試算'!J58+'試算'!J59</f>
        <v>0</v>
      </c>
    </row>
    <row r="103" spans="1:6" ht="24.75" customHeight="1">
      <c r="A103" s="676"/>
      <c r="B103" s="677"/>
      <c r="C103" s="678"/>
      <c r="D103" s="679"/>
      <c r="E103" s="677"/>
      <c r="F103" s="677"/>
    </row>
    <row r="104" spans="1:6" ht="24.75" customHeight="1">
      <c r="A104" s="655" t="s">
        <v>22</v>
      </c>
      <c r="B104" s="656" t="s">
        <v>383</v>
      </c>
      <c r="C104" s="656" t="s">
        <v>23</v>
      </c>
      <c r="D104" s="656" t="s">
        <v>825</v>
      </c>
      <c r="E104" s="1123" t="s">
        <v>964</v>
      </c>
      <c r="F104" s="1124"/>
    </row>
    <row r="105" spans="1:6" ht="24.75" customHeight="1">
      <c r="A105" s="657" t="s">
        <v>13</v>
      </c>
      <c r="B105" s="658" t="s">
        <v>389</v>
      </c>
      <c r="C105" s="658" t="s">
        <v>20</v>
      </c>
      <c r="D105" s="659" t="s">
        <v>21</v>
      </c>
      <c r="E105" s="1116" t="s">
        <v>190</v>
      </c>
      <c r="F105" s="1117"/>
    </row>
    <row r="106" spans="1:6" ht="24.75" customHeight="1">
      <c r="A106" s="660"/>
      <c r="B106" s="631" t="s">
        <v>381</v>
      </c>
      <c r="C106" s="631" t="s">
        <v>50</v>
      </c>
      <c r="D106" s="631" t="s">
        <v>384</v>
      </c>
      <c r="E106" s="1118" t="s">
        <v>385</v>
      </c>
      <c r="F106" s="1119"/>
    </row>
    <row r="107" spans="1:6" ht="24.75" customHeight="1">
      <c r="A107" s="675">
        <f>'試算'!K50</f>
        <v>0</v>
      </c>
      <c r="B107" s="634">
        <f>'試算'!K53</f>
        <v>0</v>
      </c>
      <c r="C107" s="661">
        <f>'試算'!K55</f>
        <v>0</v>
      </c>
      <c r="D107" s="662">
        <f>'試算'!K64</f>
        <v>0</v>
      </c>
      <c r="E107" s="1121">
        <f>'試算'!K65</f>
        <v>0</v>
      </c>
      <c r="F107" s="1122"/>
    </row>
    <row r="108" spans="1:6" ht="24.75" customHeight="1">
      <c r="A108" s="663" t="s">
        <v>737</v>
      </c>
      <c r="B108" s="664" t="s">
        <v>738</v>
      </c>
      <c r="C108" s="665" t="s">
        <v>851</v>
      </c>
      <c r="D108" s="666" t="s">
        <v>852</v>
      </c>
      <c r="E108" s="1120" t="s">
        <v>853</v>
      </c>
      <c r="F108" s="1120"/>
    </row>
    <row r="109" spans="1:6" ht="24.75" customHeight="1">
      <c r="A109" s="667">
        <f>償却残価率</f>
        <v>0.05</v>
      </c>
      <c r="B109" s="667">
        <f>'試算'!K60</f>
        <v>0</v>
      </c>
      <c r="C109" s="667">
        <f>'試算'!K61</f>
        <v>0</v>
      </c>
      <c r="D109" s="667">
        <f>IF('試算'!K62=0,"",'試算'!K62)</f>
      </c>
      <c r="E109" s="1115">
        <f>'試算'!K64</f>
        <v>0</v>
      </c>
      <c r="F109" s="1115"/>
    </row>
    <row r="110" spans="1:6" ht="24.75" customHeight="1">
      <c r="A110" s="668" t="s">
        <v>411</v>
      </c>
      <c r="B110" s="669">
        <f>'試算'!K59</f>
        <v>0</v>
      </c>
      <c r="C110" s="670" t="s">
        <v>161</v>
      </c>
      <c r="D110" s="669">
        <f>'試算'!K58</f>
        <v>0</v>
      </c>
      <c r="E110" s="670" t="s">
        <v>457</v>
      </c>
      <c r="F110" s="669">
        <f>'試算'!K58+'試算'!K59</f>
        <v>0</v>
      </c>
    </row>
    <row r="111" spans="1:6" ht="24.75" customHeight="1">
      <c r="A111" s="676"/>
      <c r="B111" s="677"/>
      <c r="C111" s="678"/>
      <c r="D111" s="679"/>
      <c r="E111" s="677"/>
      <c r="F111" s="677"/>
    </row>
    <row r="112" spans="1:6" ht="24.75" customHeight="1">
      <c r="A112" s="655" t="s">
        <v>22</v>
      </c>
      <c r="B112" s="656" t="s">
        <v>383</v>
      </c>
      <c r="C112" s="656" t="s">
        <v>23</v>
      </c>
      <c r="D112" s="656" t="s">
        <v>825</v>
      </c>
      <c r="E112" s="1123" t="s">
        <v>964</v>
      </c>
      <c r="F112" s="1124"/>
    </row>
    <row r="113" spans="1:6" ht="24.75" customHeight="1">
      <c r="A113" s="657" t="s">
        <v>13</v>
      </c>
      <c r="B113" s="658" t="s">
        <v>389</v>
      </c>
      <c r="C113" s="658" t="s">
        <v>20</v>
      </c>
      <c r="D113" s="659" t="s">
        <v>21</v>
      </c>
      <c r="E113" s="1116" t="s">
        <v>190</v>
      </c>
      <c r="F113" s="1117"/>
    </row>
    <row r="114" spans="1:6" ht="24.75" customHeight="1">
      <c r="A114" s="660"/>
      <c r="B114" s="631" t="s">
        <v>381</v>
      </c>
      <c r="C114" s="631" t="s">
        <v>50</v>
      </c>
      <c r="D114" s="631" t="s">
        <v>384</v>
      </c>
      <c r="E114" s="1118" t="s">
        <v>385</v>
      </c>
      <c r="F114" s="1119"/>
    </row>
    <row r="115" spans="1:6" ht="24.75" customHeight="1">
      <c r="A115" s="675">
        <f>'試算'!L50</f>
        <v>0</v>
      </c>
      <c r="B115" s="634">
        <f>'試算'!L53</f>
        <v>0</v>
      </c>
      <c r="C115" s="661">
        <f>'試算'!L55</f>
        <v>0</v>
      </c>
      <c r="D115" s="662">
        <f>'試算'!L64</f>
        <v>0</v>
      </c>
      <c r="E115" s="1121">
        <f>'試算'!L65</f>
        <v>0</v>
      </c>
      <c r="F115" s="1122"/>
    </row>
    <row r="116" spans="1:6" ht="24.75" customHeight="1">
      <c r="A116" s="663" t="s">
        <v>737</v>
      </c>
      <c r="B116" s="664" t="s">
        <v>738</v>
      </c>
      <c r="C116" s="665" t="s">
        <v>851</v>
      </c>
      <c r="D116" s="666" t="s">
        <v>852</v>
      </c>
      <c r="E116" s="1120" t="s">
        <v>853</v>
      </c>
      <c r="F116" s="1120"/>
    </row>
    <row r="117" spans="1:6" ht="24.75" customHeight="1">
      <c r="A117" s="667">
        <f>償却残価率</f>
        <v>0.05</v>
      </c>
      <c r="B117" s="667">
        <f>'試算'!L60</f>
        <v>0</v>
      </c>
      <c r="C117" s="667">
        <f>'試算'!L61</f>
        <v>0</v>
      </c>
      <c r="D117" s="667">
        <f>IF('試算'!L62=0,"",'試算'!L62)</f>
      </c>
      <c r="E117" s="1115">
        <f>'試算'!L64</f>
        <v>0</v>
      </c>
      <c r="F117" s="1115"/>
    </row>
    <row r="118" spans="1:6" ht="24.75" customHeight="1">
      <c r="A118" s="668" t="s">
        <v>411</v>
      </c>
      <c r="B118" s="669">
        <f>'試算'!L59</f>
        <v>0</v>
      </c>
      <c r="C118" s="670" t="s">
        <v>161</v>
      </c>
      <c r="D118" s="669">
        <f>'試算'!L58</f>
        <v>0</v>
      </c>
      <c r="E118" s="670" t="s">
        <v>457</v>
      </c>
      <c r="F118" s="669">
        <f>'試算'!L58+'試算'!L59</f>
        <v>0</v>
      </c>
    </row>
    <row r="119" spans="1:6" ht="24.75" customHeight="1">
      <c r="A119" s="676"/>
      <c r="B119" s="677"/>
      <c r="C119" s="678"/>
      <c r="D119" s="679"/>
      <c r="E119" s="677"/>
      <c r="F119" s="677"/>
    </row>
    <row r="120" spans="1:6" ht="24.75" customHeight="1">
      <c r="A120" s="478" t="s">
        <v>510</v>
      </c>
      <c r="B120" s="478"/>
      <c r="C120" s="478"/>
      <c r="D120" s="478"/>
      <c r="E120" s="478"/>
      <c r="F120" s="478"/>
    </row>
    <row r="121" spans="1:6" ht="24.75" customHeight="1">
      <c r="A121" s="478" t="s">
        <v>511</v>
      </c>
      <c r="B121" s="478"/>
      <c r="C121" s="478"/>
      <c r="D121" s="478"/>
      <c r="E121" s="478"/>
      <c r="F121" s="478"/>
    </row>
    <row r="122" spans="1:6" ht="24.75" customHeight="1">
      <c r="A122" s="478" t="s">
        <v>24</v>
      </c>
      <c r="B122" s="498" t="s">
        <v>342</v>
      </c>
      <c r="C122" s="478"/>
      <c r="D122" s="478"/>
      <c r="E122" s="478"/>
      <c r="F122" s="478"/>
    </row>
    <row r="123" spans="1:6" ht="24.75" customHeight="1">
      <c r="A123" s="478"/>
      <c r="B123" s="478" t="s">
        <v>343</v>
      </c>
      <c r="C123" s="478"/>
      <c r="D123" s="478"/>
      <c r="E123" s="478"/>
      <c r="F123" s="478"/>
    </row>
    <row r="124" spans="1:6" ht="24.75" customHeight="1">
      <c r="A124" s="478" t="s">
        <v>643</v>
      </c>
      <c r="B124" s="478" t="s">
        <v>344</v>
      </c>
      <c r="C124" s="478"/>
      <c r="D124" s="478"/>
      <c r="E124" s="478"/>
      <c r="F124" s="478"/>
    </row>
    <row r="125" spans="1:6" ht="24.75" customHeight="1">
      <c r="A125" s="478"/>
      <c r="B125" s="478"/>
      <c r="C125" s="478"/>
      <c r="D125" s="478"/>
      <c r="E125" s="478"/>
      <c r="F125" s="478"/>
    </row>
    <row r="126" spans="1:3" ht="24.75" customHeight="1">
      <c r="A126" s="483" t="s">
        <v>134</v>
      </c>
      <c r="B126" s="498" t="s">
        <v>201</v>
      </c>
      <c r="C126" s="498" t="str">
        <f>"( 物件 "&amp;'基礎'!E29&amp;" )"</f>
        <v>( 物件 1～2 )</v>
      </c>
    </row>
    <row r="127" spans="1:6" ht="24.75" customHeight="1">
      <c r="A127" s="681" t="s">
        <v>140</v>
      </c>
      <c r="B127" s="682" t="str">
        <f>"( 物件 "&amp;'基礎'!G29&amp;" )"</f>
        <v>( 物件 1 )</v>
      </c>
      <c r="C127" s="683" t="s">
        <v>141</v>
      </c>
      <c r="D127" s="682" t="str">
        <f>"( 物件 "&amp;'基礎'!I29&amp;" )"</f>
        <v>( 物件 2 )</v>
      </c>
      <c r="E127" s="683" t="s">
        <v>139</v>
      </c>
      <c r="F127" s="684" t="s">
        <v>223</v>
      </c>
    </row>
    <row r="128" spans="1:6" ht="24.75" customHeight="1">
      <c r="A128" s="1130" t="s">
        <v>135</v>
      </c>
      <c r="B128" s="1131"/>
      <c r="C128" s="1131" t="s">
        <v>136</v>
      </c>
      <c r="D128" s="1131"/>
      <c r="E128" s="1132" t="s">
        <v>199</v>
      </c>
      <c r="F128" s="1133"/>
    </row>
    <row r="129" spans="1:6" ht="24.75" customHeight="1">
      <c r="A129" s="1134" t="s">
        <v>49</v>
      </c>
      <c r="B129" s="1135"/>
      <c r="C129" s="1135" t="s">
        <v>50</v>
      </c>
      <c r="D129" s="1135"/>
      <c r="E129" s="1135" t="s">
        <v>137</v>
      </c>
      <c r="F129" s="1136"/>
    </row>
    <row r="130" spans="1:6" ht="24.75" customHeight="1">
      <c r="A130" s="1126">
        <f>F9</f>
        <v>23750000</v>
      </c>
      <c r="B130" s="1127"/>
      <c r="C130" s="1128">
        <f>'試算'!B65</f>
        <v>2238000</v>
      </c>
      <c r="D130" s="1128"/>
      <c r="E130" s="1127">
        <f>A130+C130</f>
        <v>25988000</v>
      </c>
      <c r="F130" s="1129"/>
    </row>
    <row r="142" spans="1:8" ht="14.25">
      <c r="A142" s="486"/>
      <c r="B142" s="497"/>
      <c r="C142" s="497"/>
      <c r="D142" s="497"/>
      <c r="E142" s="497"/>
      <c r="F142" s="497"/>
      <c r="G142" s="497"/>
      <c r="H142" s="497"/>
    </row>
    <row r="143" spans="1:8" ht="14.25">
      <c r="A143" s="486"/>
      <c r="B143" s="497"/>
      <c r="C143" s="497"/>
      <c r="D143" s="497"/>
      <c r="E143" s="497"/>
      <c r="F143" s="497"/>
      <c r="G143" s="497"/>
      <c r="H143" s="497"/>
    </row>
  </sheetData>
  <sheetProtection/>
  <mergeCells count="70">
    <mergeCell ref="A130:B130"/>
    <mergeCell ref="C130:D130"/>
    <mergeCell ref="E130:F130"/>
    <mergeCell ref="A128:B128"/>
    <mergeCell ref="C128:D128"/>
    <mergeCell ref="E128:F128"/>
    <mergeCell ref="A129:B129"/>
    <mergeCell ref="C129:D129"/>
    <mergeCell ref="E129:F129"/>
    <mergeCell ref="A36:F38"/>
    <mergeCell ref="E40:F40"/>
    <mergeCell ref="E41:F41"/>
    <mergeCell ref="E42:F42"/>
    <mergeCell ref="E43:F43"/>
    <mergeCell ref="E48:F48"/>
    <mergeCell ref="E49:F49"/>
    <mergeCell ref="E50:F50"/>
    <mergeCell ref="E45:F45"/>
    <mergeCell ref="E44:F44"/>
    <mergeCell ref="E51:F51"/>
    <mergeCell ref="E56:F56"/>
    <mergeCell ref="E57:F57"/>
    <mergeCell ref="E58:F58"/>
    <mergeCell ref="E52:F52"/>
    <mergeCell ref="E53:F53"/>
    <mergeCell ref="E59:F59"/>
    <mergeCell ref="E64:F64"/>
    <mergeCell ref="E65:F65"/>
    <mergeCell ref="E66:F66"/>
    <mergeCell ref="E60:F60"/>
    <mergeCell ref="E61:F61"/>
    <mergeCell ref="E67:F67"/>
    <mergeCell ref="E72:F72"/>
    <mergeCell ref="E73:F73"/>
    <mergeCell ref="E74:F74"/>
    <mergeCell ref="E68:F68"/>
    <mergeCell ref="E69:F69"/>
    <mergeCell ref="E75:F75"/>
    <mergeCell ref="E80:F80"/>
    <mergeCell ref="E81:F81"/>
    <mergeCell ref="E82:F82"/>
    <mergeCell ref="E76:F76"/>
    <mergeCell ref="E77:F77"/>
    <mergeCell ref="E83:F83"/>
    <mergeCell ref="E88:F88"/>
    <mergeCell ref="E89:F89"/>
    <mergeCell ref="E90:F90"/>
    <mergeCell ref="E84:F84"/>
    <mergeCell ref="E85:F85"/>
    <mergeCell ref="E107:F107"/>
    <mergeCell ref="E112:F112"/>
    <mergeCell ref="E91:F91"/>
    <mergeCell ref="E96:F96"/>
    <mergeCell ref="E97:F97"/>
    <mergeCell ref="E98:F98"/>
    <mergeCell ref="E92:F92"/>
    <mergeCell ref="E93:F93"/>
    <mergeCell ref="E99:F99"/>
    <mergeCell ref="E104:F104"/>
    <mergeCell ref="E105:F105"/>
    <mergeCell ref="E106:F106"/>
    <mergeCell ref="E100:F100"/>
    <mergeCell ref="E101:F101"/>
    <mergeCell ref="E117:F117"/>
    <mergeCell ref="E113:F113"/>
    <mergeCell ref="E114:F114"/>
    <mergeCell ref="E108:F108"/>
    <mergeCell ref="E109:F109"/>
    <mergeCell ref="E116:F116"/>
    <mergeCell ref="E115:F115"/>
  </mergeCells>
  <printOptions/>
  <pageMargins left="1.12" right="0.31496062992125984" top="0.7874015748031497" bottom="0.8267716535433072" header="0.4330708661417323" footer="0.5511811023622047"/>
  <pageSetup orientation="portrait" paperSize="9" scale="77" r:id="rId1"/>
  <headerFooter alignWithMargins="0">
    <oddFooter>&amp;L&amp;C&amp;R&amp;"Osaka,斜体"&amp;P</oddFooter>
  </headerFooter>
  <rowBreaks count="3" manualBreakCount="3">
    <brk id="34" max="5" man="1"/>
    <brk id="70" max="5" man="1"/>
    <brk id="110" max="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2006-02-08T04:44:00Z</cp:lastPrinted>
  <dcterms:created xsi:type="dcterms:W3CDTF">1999-12-01T03:22:24Z</dcterms:created>
  <dcterms:modified xsi:type="dcterms:W3CDTF">2006-06-20T09:55:04Z</dcterms:modified>
  <cp:category/>
  <cp:version/>
  <cp:contentType/>
  <cp:contentStatus/>
</cp:coreProperties>
</file>